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10EEC475-2B84-48FD-8AD3-6C6F9519A2CF}" xr6:coauthVersionLast="47" xr6:coauthVersionMax="47" xr10:uidLastSave="{00000000-0000-0000-0000-000000000000}"/>
  <workbookProtection workbookAlgorithmName="SHA-512" workbookHashValue="XS5lQ755ClvxVxhZ+Mw5myqRQEi20S0HFatD53WYsEZT45r2HVNv8S6dgfKC4vKXBiFR/iKhsuzuqhrtPF9mww==" workbookSaltValue="tpdLiYKE0ZF/EeHii3JjQg==" workbookSpinCount="100000" lockStructure="1"/>
  <bookViews>
    <workbookView xWindow="-108" yWindow="-108" windowWidth="23256" windowHeight="12456" tabRatio="690" firstSheet="3" activeTab="18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r:id="rId17"/>
    <sheet name="Spielzettel3" sheetId="46" r:id="rId18"/>
    <sheet name="Erfassung3" sheetId="55" r:id="rId19"/>
    <sheet name="Tabelle3" sheetId="63" r:id="rId20"/>
    <sheet name="TabGes3" sheetId="73" r:id="rId21"/>
    <sheet name="Schnitt3" sheetId="80" r:id="rId22"/>
    <sheet name="SchnittGes3" sheetId="85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S164" i="57" s="1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F107" i="57" s="1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X102" i="57" s="1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S67" i="57" s="1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W7" i="57" s="1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F284" i="55" s="1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F218" i="55" s="1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F37" i="55" s="1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F104" i="53" s="1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/>
  <c r="AU129" i="57"/>
  <c r="BE129" i="57" s="1"/>
  <c r="AU128" i="57"/>
  <c r="BE128" i="57" s="1"/>
  <c r="AU127" i="57"/>
  <c r="BE127" i="57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AM289" i="57"/>
  <c r="N289" i="57" s="1"/>
  <c r="AK289" i="57"/>
  <c r="L289" i="57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D49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V220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F49" i="57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J79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166" i="55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251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7" i="57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F67" i="57"/>
  <c r="BX71" i="57"/>
  <c r="BG74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S43" i="57"/>
  <c r="BW74" i="57"/>
  <c r="BF104" i="57"/>
  <c r="BG132" i="57"/>
  <c r="BG9" i="57"/>
  <c r="BF100" i="57"/>
  <c r="BG18" i="57"/>
  <c r="BS45" i="57"/>
  <c r="BG102" i="57"/>
  <c r="BW108" i="57"/>
  <c r="BG108" i="57"/>
  <c r="BG159" i="57"/>
  <c r="BS97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X133" i="57"/>
  <c r="BW192" i="57"/>
  <c r="BS197" i="57"/>
  <c r="BF224" i="57"/>
  <c r="BX224" i="57"/>
  <c r="BF196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F103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G67" i="57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AU259" i="57"/>
  <c r="V259" i="57" s="1"/>
  <c r="BS253" i="57"/>
  <c r="BS247" i="57"/>
  <c r="BW247" i="57"/>
  <c r="AU229" i="57"/>
  <c r="V229" i="57" s="1"/>
  <c r="P229" i="57"/>
  <c r="AU199" i="57"/>
  <c r="V199" i="57" s="1"/>
  <c r="V196" i="57"/>
  <c r="BS166" i="57"/>
  <c r="BW166" i="57"/>
  <c r="BW160" i="57"/>
  <c r="BX158" i="57"/>
  <c r="V158" i="57"/>
  <c r="BG158" i="57"/>
  <c r="V157" i="57"/>
  <c r="AU169" i="57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AU49" i="57"/>
  <c r="V49" i="57" s="1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X76" i="57"/>
  <c r="BF76" i="57"/>
  <c r="BX257" i="52"/>
  <c r="BF45" i="57"/>
  <c r="BG97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G278" i="57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X278" i="57"/>
  <c r="BG278" i="58"/>
  <c r="BG254" i="53"/>
  <c r="BG250" i="53"/>
  <c r="BW251" i="55"/>
  <c r="BS258" i="53"/>
  <c r="BW249" i="52"/>
  <c r="BG249" i="57"/>
  <c r="BW256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V169" i="57"/>
  <c r="BB170" i="57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100" i="52"/>
  <c r="BW100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W160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S221" i="55"/>
  <c r="BF221" i="55"/>
  <c r="BX221" i="55"/>
  <c r="BG221" i="55"/>
  <c r="BW221" i="55"/>
  <c r="BW223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F16" i="55"/>
  <c r="BG16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F100" i="52"/>
  <c r="BX132" i="59"/>
  <c r="BX227" i="59"/>
  <c r="V97" i="52"/>
  <c r="BE97" i="52"/>
  <c r="BX97" i="52" s="1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AU289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BF247" i="55"/>
  <c r="BS247" i="55"/>
  <c r="BG247" i="55"/>
  <c r="AU259" i="55"/>
  <c r="BB260" i="55" s="1"/>
  <c r="BX226" i="55"/>
  <c r="BF226" i="55"/>
  <c r="BS226" i="55"/>
  <c r="BF224" i="55"/>
  <c r="BW224" i="55"/>
  <c r="BG223" i="55"/>
  <c r="BS223" i="55"/>
  <c r="BF223" i="55"/>
  <c r="BF220" i="55"/>
  <c r="BW220" i="55"/>
  <c r="BS220" i="55"/>
  <c r="BX220" i="55"/>
  <c r="BW217" i="55"/>
  <c r="AU229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BF190" i="55"/>
  <c r="BG190" i="55"/>
  <c r="BW190" i="55"/>
  <c r="BF187" i="55"/>
  <c r="V187" i="55"/>
  <c r="BW187" i="55"/>
  <c r="BS187" i="55"/>
  <c r="BG166" i="55"/>
  <c r="BS166" i="55"/>
  <c r="BF166" i="55"/>
  <c r="BF163" i="55"/>
  <c r="BG163" i="55"/>
  <c r="BS163" i="55"/>
  <c r="BS160" i="55"/>
  <c r="BG160" i="55"/>
  <c r="BF160" i="55"/>
  <c r="V160" i="55"/>
  <c r="AU169" i="55"/>
  <c r="BW157" i="55"/>
  <c r="BF157" i="55"/>
  <c r="BG157" i="55"/>
  <c r="BG136" i="55"/>
  <c r="BX136" i="55"/>
  <c r="BF136" i="55"/>
  <c r="BW136" i="55"/>
  <c r="BE127" i="55"/>
  <c r="BX127" i="55"/>
  <c r="AU139" i="55"/>
  <c r="BB140" i="55" s="1"/>
  <c r="V106" i="55"/>
  <c r="BG103" i="55"/>
  <c r="BS103" i="55"/>
  <c r="BW103" i="55"/>
  <c r="V103" i="55"/>
  <c r="V101" i="55"/>
  <c r="V100" i="55"/>
  <c r="BS100" i="55"/>
  <c r="BX100" i="55"/>
  <c r="BF100" i="55"/>
  <c r="BE97" i="55"/>
  <c r="BX97" i="55"/>
  <c r="BW97" i="55"/>
  <c r="BF97" i="55"/>
  <c r="AU109" i="55"/>
  <c r="V109" i="55" s="1"/>
  <c r="BG97" i="55"/>
  <c r="BF76" i="55"/>
  <c r="BW76" i="55"/>
  <c r="BS77" i="55"/>
  <c r="BX77" i="55"/>
  <c r="BW77" i="55"/>
  <c r="V77" i="55"/>
  <c r="BW73" i="55"/>
  <c r="BS73" i="55"/>
  <c r="BW70" i="55"/>
  <c r="N79" i="55"/>
  <c r="BX43" i="55"/>
  <c r="BW40" i="55"/>
  <c r="BG40" i="55"/>
  <c r="BF40" i="55"/>
  <c r="BS40" i="55"/>
  <c r="BS37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3" i="55"/>
  <c r="BS43" i="55"/>
  <c r="BG43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G100" i="52"/>
  <c r="BS100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BF43" i="55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AU199" i="55"/>
  <c r="V199" i="55" s="1"/>
  <c r="D199" i="55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X103" i="55"/>
  <c r="BW16" i="55"/>
  <c r="BW37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/>
  <c r="P139" i="57"/>
  <c r="AU79" i="57"/>
  <c r="BB80" i="57" s="1"/>
  <c r="BB50" i="57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G37" i="55"/>
  <c r="BX166" i="57"/>
  <c r="BX217" i="57"/>
  <c r="BW101" i="53"/>
  <c r="BS195" i="53"/>
  <c r="BX43" i="57"/>
  <c r="BX223" i="55"/>
  <c r="BF46" i="58"/>
  <c r="BW196" i="55"/>
  <c r="BE16" i="55"/>
  <c r="BX16" i="55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X163" i="57"/>
  <c r="BX223" i="57"/>
  <c r="BX226" i="57"/>
  <c r="BS16" i="55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247" i="52"/>
  <c r="BS78" i="53"/>
  <c r="BX247" i="57"/>
  <c r="BF279" i="58"/>
  <c r="BG187" i="55"/>
  <c r="BX16" i="57"/>
  <c r="BW247" i="58"/>
  <c r="BS97" i="55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X196" i="57"/>
  <c r="BS217" i="55"/>
  <c r="BX17" i="57"/>
  <c r="BF138" i="58"/>
  <c r="BE98" i="58"/>
  <c r="BW280" i="57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N13" i="81"/>
  <c r="O13" i="81" s="1"/>
  <c r="N14" i="81"/>
  <c r="O14" i="81" s="1"/>
  <c r="N46" i="81"/>
  <c r="O46" i="81" s="1"/>
  <c r="B227" i="55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0" i="57"/>
  <c r="BF132" i="58"/>
  <c r="BG97" i="59"/>
  <c r="V109" i="57"/>
  <c r="V104" i="58"/>
  <c r="BF106" i="59"/>
  <c r="BE101" i="58"/>
  <c r="BW69" i="59"/>
  <c r="BX77" i="59"/>
  <c r="BE76" i="52"/>
  <c r="BF77" i="59"/>
  <c r="BG73" i="59"/>
  <c r="AU79" i="55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AU49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M20" i="82"/>
  <c r="BE280" i="58"/>
  <c r="BX280" i="58"/>
  <c r="V139" i="57"/>
  <c r="V129" i="57"/>
  <c r="V277" i="57"/>
  <c r="BE44" i="55"/>
  <c r="AG23" i="52"/>
  <c r="H23" i="52" s="1"/>
  <c r="AG233" i="55"/>
  <c r="H233" i="55" s="1"/>
  <c r="BB50" i="55"/>
  <c r="V49" i="55"/>
  <c r="V197" i="53" l="1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110" i="55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BB230" i="57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BG286" i="57"/>
  <c r="BW286" i="57"/>
  <c r="BS286" i="57"/>
  <c r="AL274" i="53"/>
  <c r="I244" i="52"/>
  <c r="O244" i="53"/>
  <c r="I64" i="52"/>
  <c r="R109" i="46"/>
  <c r="R110" i="46" s="1"/>
  <c r="BB200" i="55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F200" i="55"/>
  <c r="BB50" i="59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F50" i="57" s="1"/>
  <c r="BS37" i="57"/>
  <c r="BT101" i="57" s="1"/>
  <c r="BG43" i="57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BW187" i="57"/>
  <c r="BW189" i="57"/>
  <c r="BG189" i="57"/>
  <c r="BG197" i="57"/>
  <c r="BF197" i="57"/>
  <c r="BF198" i="57"/>
  <c r="BX218" i="57"/>
  <c r="BS218" i="57"/>
  <c r="BW218" i="57"/>
  <c r="BG218" i="57"/>
  <c r="BS221" i="57"/>
  <c r="BG221" i="57"/>
  <c r="BW221" i="57"/>
  <c r="BG224" i="57"/>
  <c r="BS224" i="57"/>
  <c r="BF247" i="57"/>
  <c r="BS250" i="57"/>
  <c r="BX252" i="57"/>
  <c r="BG253" i="57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O29" i="81" s="1"/>
  <c r="N45" i="81"/>
  <c r="O45" i="81" s="1"/>
  <c r="N38" i="82"/>
  <c r="O38" i="82" s="1"/>
  <c r="BG100" i="53"/>
  <c r="N30" i="81"/>
  <c r="O30" i="81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M12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M22" i="79" s="1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V289" i="55"/>
  <c r="BB290" i="55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V79" i="57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V79" i="55"/>
  <c r="BB80" i="55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BB230" i="55"/>
  <c r="V229" i="55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N77" i="81" s="1"/>
  <c r="O77" i="81" s="1"/>
  <c r="BX98" i="57"/>
  <c r="BS98" i="57"/>
  <c r="BT10" i="57" s="1"/>
  <c r="BS158" i="57"/>
  <c r="BW158" i="57"/>
  <c r="BS187" i="57"/>
  <c r="BG187" i="57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F260" i="55" s="1"/>
  <c r="BX284" i="55"/>
  <c r="BS287" i="55"/>
  <c r="BF10" i="57"/>
  <c r="BX47" i="57"/>
  <c r="BF71" i="57"/>
  <c r="BS71" i="57"/>
  <c r="BW99" i="57"/>
  <c r="BS102" i="57"/>
  <c r="BF105" i="57"/>
  <c r="BF110" i="57" s="1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F20" i="55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O31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165" i="57"/>
  <c r="BT108" i="57"/>
  <c r="BT68" i="57"/>
  <c r="BT69" i="58"/>
  <c r="BT224" i="58"/>
  <c r="BT38" i="58"/>
  <c r="BT164" i="58"/>
  <c r="J138" i="45"/>
  <c r="J139" i="45" s="1"/>
  <c r="K120" i="45"/>
  <c r="S120" i="45"/>
  <c r="N138" i="45"/>
  <c r="N139" i="45" s="1"/>
  <c r="N61" i="81"/>
  <c r="O61" i="81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CD6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BF200" i="57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O3" i="81" s="1"/>
  <c r="N19" i="81"/>
  <c r="O19" i="81" s="1"/>
  <c r="N51" i="81"/>
  <c r="O51" i="81" s="1"/>
  <c r="N67" i="81"/>
  <c r="O67" i="81" s="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O4" i="81" s="1"/>
  <c r="N20" i="81"/>
  <c r="O20" i="81" s="1"/>
  <c r="N52" i="81"/>
  <c r="O52" i="81" s="1"/>
  <c r="N68" i="81"/>
  <c r="O68" i="81" s="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O5" i="81" s="1"/>
  <c r="N21" i="81"/>
  <c r="O21" i="81" s="1"/>
  <c r="N37" i="81"/>
  <c r="O37" i="81" s="1"/>
  <c r="N69" i="81"/>
  <c r="O69" i="81" s="1"/>
  <c r="N85" i="81"/>
  <c r="O85" i="81" s="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B200" i="57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O70" i="81" s="1"/>
  <c r="N15" i="82"/>
  <c r="O15" i="82" s="1"/>
  <c r="N31" i="82"/>
  <c r="O31" i="82" s="1"/>
  <c r="N47" i="82"/>
  <c r="O47" i="82" s="1"/>
  <c r="K62" i="50"/>
  <c r="BW128" i="57"/>
  <c r="N12" i="78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O55" i="81" s="1"/>
  <c r="N71" i="81"/>
  <c r="O71" i="81" s="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M13" i="78"/>
  <c r="N29" i="78"/>
  <c r="N77" i="78"/>
  <c r="O77" i="78" s="1"/>
  <c r="N93" i="78"/>
  <c r="O93" i="78" s="1"/>
  <c r="M6" i="79"/>
  <c r="M38" i="79"/>
  <c r="M54" i="79"/>
  <c r="N8" i="81"/>
  <c r="O8" i="81" s="1"/>
  <c r="N24" i="81"/>
  <c r="O24" i="81" s="1"/>
  <c r="N56" i="81"/>
  <c r="O56" i="81" s="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57" i="81"/>
  <c r="O57" i="81" s="1"/>
  <c r="N73" i="81"/>
  <c r="O73" i="81" s="1"/>
  <c r="M2" i="82"/>
  <c r="M34" i="82"/>
  <c r="N50" i="82"/>
  <c r="O50" i="82" s="1"/>
  <c r="M66" i="82"/>
  <c r="M214" i="59"/>
  <c r="Q274" i="55"/>
  <c r="U33" i="50"/>
  <c r="BF230" i="57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O26" i="81" s="1"/>
  <c r="N42" i="81"/>
  <c r="O42" i="81" s="1"/>
  <c r="N58" i="81"/>
  <c r="O58" i="81" s="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BF260" i="57" s="1"/>
  <c r="M48" i="78"/>
  <c r="M96" i="78"/>
  <c r="M9" i="79"/>
  <c r="M57" i="79"/>
  <c r="N43" i="81"/>
  <c r="O43" i="81" s="1"/>
  <c r="N59" i="81"/>
  <c r="O59" i="81" s="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O12" i="81" s="1"/>
  <c r="N28" i="81"/>
  <c r="O28" i="81" s="1"/>
  <c r="N44" i="81"/>
  <c r="O44" i="81" s="1"/>
  <c r="N60" i="81"/>
  <c r="O60" i="81" s="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AH133" i="59"/>
  <c r="I133" i="59" s="1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22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N67" i="80"/>
  <c r="O67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O4" i="79" s="1"/>
  <c r="BF15" i="16"/>
  <c r="O4" i="46"/>
  <c r="AN4" i="55"/>
  <c r="AC116" i="55"/>
  <c r="N56" i="79"/>
  <c r="N53" i="81"/>
  <c r="O53" i="81" s="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O7" i="81" s="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O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O7" i="80" s="1"/>
  <c r="N23" i="80"/>
  <c r="O23" i="80" s="1"/>
  <c r="N8" i="80"/>
  <c r="O8" i="80" s="1"/>
  <c r="N40" i="80"/>
  <c r="O40" i="80" s="1"/>
  <c r="N56" i="80"/>
  <c r="O56" i="80" s="1"/>
  <c r="M90" i="78" l="1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O74" i="81" s="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V249" i="57" s="1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BV255" i="57" s="1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P9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L119" i="58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L110" i="58"/>
  <c r="M110" i="58" s="1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P49" i="81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L169" i="57"/>
  <c r="M169" i="57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AT50" i="59"/>
  <c r="U50" i="59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P18" i="81"/>
  <c r="AN226" i="55"/>
  <c r="N238" i="55"/>
  <c r="N61" i="80"/>
  <c r="O61" i="80" s="1"/>
  <c r="T235" i="57"/>
  <c r="AT217" i="57"/>
  <c r="AS239" i="57"/>
  <c r="P19" i="81"/>
  <c r="P4" i="81"/>
  <c r="P84" i="81"/>
  <c r="P47" i="81"/>
  <c r="P96" i="81"/>
  <c r="P89" i="81"/>
  <c r="P8" i="81"/>
  <c r="P100" i="81"/>
  <c r="P14" i="81"/>
  <c r="P71" i="81"/>
  <c r="P44" i="81"/>
  <c r="P60" i="81"/>
  <c r="P93" i="81"/>
  <c r="P3" i="81"/>
  <c r="P62" i="81"/>
  <c r="P82" i="81"/>
  <c r="P77" i="81"/>
  <c r="P83" i="81"/>
  <c r="P97" i="81"/>
  <c r="P15" i="81"/>
  <c r="P43" i="81"/>
  <c r="P10" i="81"/>
  <c r="P80" i="81"/>
  <c r="P90" i="81"/>
  <c r="P74" i="81"/>
  <c r="P29" i="81"/>
  <c r="P95" i="81"/>
  <c r="P37" i="81"/>
  <c r="P91" i="81"/>
  <c r="P26" i="81"/>
  <c r="P68" i="81"/>
  <c r="P12" i="81"/>
  <c r="P46" i="81"/>
  <c r="P72" i="81"/>
  <c r="P81" i="81"/>
  <c r="P50" i="81"/>
  <c r="P61" i="81"/>
  <c r="P99" i="81"/>
  <c r="P70" i="81"/>
  <c r="P51" i="81"/>
  <c r="P73" i="81"/>
  <c r="P20" i="81"/>
  <c r="P31" i="81"/>
  <c r="P33" i="81"/>
  <c r="P92" i="81"/>
  <c r="P39" i="81"/>
  <c r="P56" i="81"/>
  <c r="P87" i="81"/>
  <c r="P79" i="81"/>
  <c r="P28" i="81"/>
  <c r="P85" i="81"/>
  <c r="P57" i="81"/>
  <c r="P78" i="81"/>
  <c r="P94" i="81"/>
  <c r="P5" i="81"/>
  <c r="P86" i="81"/>
  <c r="P88" i="81"/>
  <c r="P69" i="81"/>
  <c r="P76" i="81"/>
  <c r="P2" i="81"/>
  <c r="P42" i="81"/>
  <c r="P103" i="81"/>
  <c r="P67" i="81"/>
  <c r="P104" i="81"/>
  <c r="P24" i="81"/>
  <c r="P59" i="81"/>
  <c r="P30" i="81"/>
  <c r="P55" i="81"/>
  <c r="P102" i="81"/>
  <c r="P101" i="81"/>
  <c r="P23" i="81"/>
  <c r="P75" i="81"/>
  <c r="P58" i="81"/>
  <c r="P45" i="81"/>
  <c r="P13" i="81"/>
  <c r="P34" i="81"/>
  <c r="P98" i="81"/>
  <c r="AR226" i="53"/>
  <c r="R238" i="53"/>
  <c r="AQ239" i="53"/>
  <c r="M94" i="83"/>
  <c r="M81" i="83"/>
  <c r="M16" i="83"/>
  <c r="M26" i="83"/>
  <c r="M17" i="83"/>
  <c r="M65" i="83"/>
  <c r="P7" i="81"/>
  <c r="P48" i="81"/>
  <c r="AJ97" i="55"/>
  <c r="AI119" i="55"/>
  <c r="J115" i="55"/>
  <c r="P32" i="81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P9" i="81"/>
  <c r="P40" i="81"/>
  <c r="P17" i="81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P22" i="81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P25" i="81"/>
  <c r="AJ190" i="55"/>
  <c r="J206" i="55"/>
  <c r="N9" i="80"/>
  <c r="O9" i="80" s="1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P66" i="81"/>
  <c r="M7" i="80"/>
  <c r="P35" i="81"/>
  <c r="AR46" i="55"/>
  <c r="R58" i="55"/>
  <c r="P36" i="81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O17" i="80" s="1"/>
  <c r="N35" i="80"/>
  <c r="O35" i="80" s="1"/>
  <c r="N51" i="80"/>
  <c r="O51" i="80" s="1"/>
  <c r="N5" i="80"/>
  <c r="O5" i="80" s="1"/>
  <c r="N63" i="80"/>
  <c r="O63" i="80" s="1"/>
  <c r="N21" i="80"/>
  <c r="O21" i="80" s="1"/>
  <c r="N62" i="80"/>
  <c r="O62" i="80" s="1"/>
  <c r="N70" i="80"/>
  <c r="O70" i="80" s="1"/>
  <c r="N18" i="80"/>
  <c r="O18" i="80" s="1"/>
  <c r="N4" i="80"/>
  <c r="O4" i="80" s="1"/>
  <c r="N37" i="80"/>
  <c r="O37" i="80" s="1"/>
  <c r="N53" i="80"/>
  <c r="O53" i="80" s="1"/>
  <c r="N50" i="80"/>
  <c r="O50" i="80" s="1"/>
  <c r="N16" i="80"/>
  <c r="O16" i="80" s="1"/>
  <c r="N20" i="80"/>
  <c r="O20" i="80" s="1"/>
  <c r="N65" i="80"/>
  <c r="O65" i="80" s="1"/>
  <c r="N36" i="80"/>
  <c r="O36" i="80" s="1"/>
  <c r="N69" i="80"/>
  <c r="O69" i="80" s="1"/>
  <c r="N10" i="80"/>
  <c r="O10" i="80" s="1"/>
  <c r="N47" i="80"/>
  <c r="O47" i="80" s="1"/>
  <c r="N2" i="80"/>
  <c r="O2" i="80" s="1"/>
  <c r="N52" i="80"/>
  <c r="O52" i="80" s="1"/>
  <c r="N48" i="80"/>
  <c r="O48" i="80" s="1"/>
  <c r="N39" i="80"/>
  <c r="O39" i="80" s="1"/>
  <c r="N34" i="80"/>
  <c r="O34" i="80" s="1"/>
  <c r="N31" i="80"/>
  <c r="O31" i="80" s="1"/>
  <c r="N38" i="80"/>
  <c r="O38" i="80" s="1"/>
  <c r="N15" i="80"/>
  <c r="O15" i="80" s="1"/>
  <c r="N66" i="80"/>
  <c r="O66" i="80" s="1"/>
  <c r="N68" i="80"/>
  <c r="O68" i="80" s="1"/>
  <c r="N26" i="80"/>
  <c r="O26" i="80" s="1"/>
  <c r="N44" i="80"/>
  <c r="O44" i="80" s="1"/>
  <c r="N60" i="80"/>
  <c r="O60" i="80" s="1"/>
  <c r="N32" i="80"/>
  <c r="O32" i="80" s="1"/>
  <c r="N3" i="80"/>
  <c r="O3" i="80" s="1"/>
  <c r="N14" i="80"/>
  <c r="O14" i="80" s="1"/>
  <c r="N11" i="80"/>
  <c r="O11" i="80" s="1"/>
  <c r="N19" i="80"/>
  <c r="O19" i="80" s="1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O33" i="80" s="1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O27" i="80" s="1"/>
  <c r="N25" i="80"/>
  <c r="O25" i="80" s="1"/>
  <c r="N100" i="80"/>
  <c r="O100" i="80" s="1"/>
  <c r="N98" i="80"/>
  <c r="O98" i="80" s="1"/>
  <c r="N103" i="80"/>
  <c r="O103" i="80" s="1"/>
  <c r="N42" i="80"/>
  <c r="O42" i="80" s="1"/>
  <c r="N87" i="80"/>
  <c r="O87" i="80" s="1"/>
  <c r="N102" i="80"/>
  <c r="O102" i="80" s="1"/>
  <c r="N59" i="80"/>
  <c r="O59" i="80" s="1"/>
  <c r="N82" i="80"/>
  <c r="O82" i="80" s="1"/>
  <c r="N73" i="80"/>
  <c r="O73" i="80" s="1"/>
  <c r="N64" i="80"/>
  <c r="O64" i="80" s="1"/>
  <c r="N45" i="80"/>
  <c r="O45" i="80" s="1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O6" i="80" s="1"/>
  <c r="N30" i="80"/>
  <c r="O30" i="80" s="1"/>
  <c r="N46" i="80"/>
  <c r="O46" i="80" s="1"/>
  <c r="N12" i="80"/>
  <c r="O12" i="80" s="1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P11" i="8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O13" i="80" s="1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P16" i="81"/>
  <c r="AH157" i="55"/>
  <c r="H175" i="55"/>
  <c r="AG179" i="55"/>
  <c r="M72" i="80"/>
  <c r="N24" i="80"/>
  <c r="O24" i="80" s="1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P27" i="81"/>
  <c r="M45" i="80"/>
  <c r="P65" i="81"/>
  <c r="H28" i="57"/>
  <c r="AH16" i="57"/>
  <c r="AG29" i="57"/>
  <c r="M69" i="83"/>
  <c r="BV68" i="58"/>
  <c r="M73" i="83"/>
  <c r="M70" i="83"/>
  <c r="M8" i="83"/>
  <c r="M56" i="83"/>
  <c r="P6" i="81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P41" i="81"/>
  <c r="P64" i="81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O54" i="80" s="1"/>
  <c r="M10" i="83"/>
  <c r="M82" i="83"/>
  <c r="BV280" i="58"/>
  <c r="M59" i="83"/>
  <c r="M40" i="83"/>
  <c r="M39" i="83"/>
  <c r="M23" i="83"/>
  <c r="P38" i="81"/>
  <c r="P21" i="81"/>
  <c r="P52" i="81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P54" i="81"/>
  <c r="AP10" i="55"/>
  <c r="AO29" i="55"/>
  <c r="P26" i="55"/>
  <c r="P53" i="81"/>
  <c r="M54" i="83"/>
  <c r="L206" i="53"/>
  <c r="AK209" i="53"/>
  <c r="AL190" i="53"/>
  <c r="N58" i="80"/>
  <c r="O58" i="80" s="1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P63" i="81"/>
  <c r="N49" i="80"/>
  <c r="O49" i="80" s="1"/>
  <c r="T206" i="53"/>
  <c r="AT190" i="53"/>
  <c r="AS209" i="53"/>
  <c r="M103" i="83"/>
  <c r="M83" i="83"/>
  <c r="M43" i="83"/>
  <c r="M49" i="83"/>
  <c r="M41" i="83"/>
  <c r="M35" i="83"/>
  <c r="I46" i="52"/>
  <c r="O89" i="79" l="1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1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P13" i="80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L170" i="57"/>
  <c r="M170" i="57" s="1"/>
  <c r="AF289" i="55"/>
  <c r="G289" i="55" s="1"/>
  <c r="P103" i="80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P48" i="80"/>
  <c r="AF169" i="52"/>
  <c r="AF170" i="52" s="1"/>
  <c r="G170" i="52" s="1"/>
  <c r="P91" i="80"/>
  <c r="P55" i="80"/>
  <c r="P97" i="80"/>
  <c r="P83" i="80"/>
  <c r="P8" i="80"/>
  <c r="P95" i="80"/>
  <c r="P88" i="80"/>
  <c r="P92" i="80"/>
  <c r="P94" i="80"/>
  <c r="P69" i="80"/>
  <c r="H299" i="53"/>
  <c r="AH289" i="53"/>
  <c r="P82" i="80"/>
  <c r="P79" i="80"/>
  <c r="P26" i="80"/>
  <c r="P65" i="80"/>
  <c r="P101" i="80"/>
  <c r="R239" i="55"/>
  <c r="AR229" i="55"/>
  <c r="S229" i="55" s="1"/>
  <c r="P99" i="80"/>
  <c r="P2" i="80"/>
  <c r="F5" i="80" s="1"/>
  <c r="R59" i="53"/>
  <c r="AF260" i="59"/>
  <c r="G260" i="59" s="1"/>
  <c r="AT19" i="59"/>
  <c r="U19" i="59" s="1"/>
  <c r="T29" i="59"/>
  <c r="P34" i="80"/>
  <c r="P63" i="80"/>
  <c r="P70" i="80"/>
  <c r="AF49" i="52"/>
  <c r="G49" i="52" s="1"/>
  <c r="J59" i="53"/>
  <c r="P31" i="80"/>
  <c r="F269" i="59"/>
  <c r="P19" i="80"/>
  <c r="P78" i="80"/>
  <c r="P44" i="80"/>
  <c r="P47" i="80"/>
  <c r="P14" i="80"/>
  <c r="P45" i="80"/>
  <c r="P23" i="80"/>
  <c r="G259" i="59"/>
  <c r="P20" i="80"/>
  <c r="P73" i="80"/>
  <c r="P7" i="80"/>
  <c r="P16" i="80"/>
  <c r="P72" i="80"/>
  <c r="P58" i="80"/>
  <c r="P89" i="80"/>
  <c r="P25" i="80"/>
  <c r="P67" i="80"/>
  <c r="AF79" i="52"/>
  <c r="G79" i="52" s="1"/>
  <c r="AN229" i="57"/>
  <c r="O229" i="57" s="1"/>
  <c r="R149" i="53"/>
  <c r="P53" i="80"/>
  <c r="P35" i="80"/>
  <c r="P18" i="80"/>
  <c r="P4" i="80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E5" i="81"/>
  <c r="A6" i="81"/>
  <c r="B5" i="81"/>
  <c r="F5" i="81"/>
  <c r="G5" i="81"/>
  <c r="P12" i="80"/>
  <c r="P41" i="80"/>
  <c r="P46" i="80"/>
  <c r="P43" i="80"/>
  <c r="P56" i="80"/>
  <c r="P36" i="80"/>
  <c r="P32" i="80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O58" i="85" s="1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O53" i="85" s="1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P29" i="80"/>
  <c r="P87" i="80"/>
  <c r="P42" i="80"/>
  <c r="P17" i="80"/>
  <c r="P21" i="80"/>
  <c r="P6" i="80"/>
  <c r="P9" i="80"/>
  <c r="P52" i="80"/>
  <c r="P98" i="80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P33" i="80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P93" i="80"/>
  <c r="P102" i="80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P77" i="80"/>
  <c r="P84" i="80"/>
  <c r="P24" i="80"/>
  <c r="P5" i="80"/>
  <c r="P86" i="80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104" i="80"/>
  <c r="P60" i="80"/>
  <c r="P64" i="80"/>
  <c r="P37" i="80"/>
  <c r="P38" i="80"/>
  <c r="P62" i="80"/>
  <c r="P40" i="80"/>
  <c r="P3" i="80"/>
  <c r="P27" i="80"/>
  <c r="P96" i="80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P68" i="80"/>
  <c r="P76" i="80"/>
  <c r="P28" i="80"/>
  <c r="P66" i="80"/>
  <c r="P80" i="80"/>
  <c r="P30" i="80"/>
  <c r="P90" i="80"/>
  <c r="P61" i="80"/>
  <c r="P75" i="80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49" i="80"/>
  <c r="P15" i="80"/>
  <c r="P57" i="80"/>
  <c r="P85" i="80"/>
  <c r="P22" i="80"/>
  <c r="P11" i="80"/>
  <c r="P51" i="80"/>
  <c r="P74" i="80"/>
  <c r="P54" i="80"/>
  <c r="P81" i="80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P10" i="80"/>
  <c r="P100" i="80"/>
  <c r="P59" i="80"/>
  <c r="P39" i="80"/>
  <c r="P71" i="80"/>
  <c r="P50" i="80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B5" i="82"/>
  <c r="G5" i="82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O93" i="84" l="1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G5" i="80"/>
  <c r="E5" i="80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B5" i="80"/>
  <c r="D5" i="80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6" i="80"/>
  <c r="G6" i="80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C5" i="81"/>
  <c r="D5" i="81"/>
  <c r="AT260" i="55"/>
  <c r="U260" i="55" s="1"/>
  <c r="W187" i="57"/>
  <c r="W136" i="57"/>
  <c r="W157" i="55"/>
  <c r="U229" i="57"/>
  <c r="AV229" i="57"/>
  <c r="W229" i="57" s="1"/>
  <c r="F6" i="81"/>
  <c r="B6" i="81"/>
  <c r="G6" i="81"/>
  <c r="E6" i="81"/>
  <c r="A7" i="8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O53" i="86" s="1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O58" i="86" s="1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86" i="85" l="1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6" i="83"/>
  <c r="D6" i="83" s="1"/>
  <c r="G6" i="82"/>
  <c r="F6" i="82"/>
  <c r="B6" i="82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C5" i="80"/>
  <c r="W49" i="53"/>
  <c r="C6" i="83"/>
  <c r="A7" i="80"/>
  <c r="F7" i="80" s="1"/>
  <c r="E6" i="80"/>
  <c r="AV80" i="58"/>
  <c r="BA80" i="58" s="1"/>
  <c r="BQ80" i="58" s="1"/>
  <c r="F6" i="80"/>
  <c r="B6" i="80"/>
  <c r="D6" i="80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C6" i="81"/>
  <c r="D6" i="8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O53" i="87" s="1"/>
  <c r="N10" i="87"/>
  <c r="N64" i="87"/>
  <c r="O64" i="87" s="1"/>
  <c r="N71" i="87"/>
  <c r="N9" i="87"/>
  <c r="N50" i="87"/>
  <c r="O50" i="87" s="1"/>
  <c r="N43" i="87"/>
  <c r="O43" i="87" s="1"/>
  <c r="N2" i="87"/>
  <c r="N58" i="87"/>
  <c r="O58" i="87" s="1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E7" i="82"/>
  <c r="A8" i="82"/>
  <c r="B7" i="82"/>
  <c r="G7" i="82"/>
  <c r="F7" i="82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C6" i="82"/>
  <c r="D6" i="82"/>
  <c r="AV170" i="55"/>
  <c r="E7" i="81"/>
  <c r="A8" i="81"/>
  <c r="B7" i="81"/>
  <c r="F7" i="81"/>
  <c r="G7" i="81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O94" i="86" l="1"/>
  <c r="O84" i="86"/>
  <c r="O104" i="86"/>
  <c r="A7" i="79"/>
  <c r="B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F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B7" i="80"/>
  <c r="D7" i="80" s="1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E7" i="80"/>
  <c r="W260" i="52"/>
  <c r="A8" i="80"/>
  <c r="F8" i="80" s="1"/>
  <c r="G7" i="80"/>
  <c r="W110" i="52"/>
  <c r="BA290" i="59"/>
  <c r="BQ290" i="59" s="1"/>
  <c r="BA80" i="59"/>
  <c r="BQ80" i="59" s="1"/>
  <c r="W80" i="58"/>
  <c r="C6" i="80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C7" i="81"/>
  <c r="D7" i="81"/>
  <c r="F8" i="81"/>
  <c r="A9" i="81"/>
  <c r="B8" i="81"/>
  <c r="E8" i="81"/>
  <c r="G8" i="8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O53" i="88" s="1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O58" i="88" s="1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D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E7" i="79" l="1"/>
  <c r="C6" i="79"/>
  <c r="A8" i="79"/>
  <c r="E8" i="79" s="1"/>
  <c r="O85" i="87"/>
  <c r="M94" i="88"/>
  <c r="O99" i="87"/>
  <c r="O94" i="87"/>
  <c r="C7" i="80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O95" i="88" s="1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F8" i="79"/>
  <c r="G8" i="79"/>
  <c r="A9" i="79"/>
  <c r="G9" i="79" s="1"/>
  <c r="A7" i="84"/>
  <c r="E7" i="84" s="1"/>
  <c r="G6" i="84"/>
  <c r="F6" i="84"/>
  <c r="B8" i="79"/>
  <c r="C8" i="79" s="1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G8" i="80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A9" i="80"/>
  <c r="E9" i="80" s="1"/>
  <c r="B8" i="80"/>
  <c r="D8" i="80" s="1"/>
  <c r="E8" i="80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C8" i="81"/>
  <c r="D8" i="81"/>
  <c r="BR50" i="55"/>
  <c r="A10" i="81"/>
  <c r="F9" i="81"/>
  <c r="G9" i="81"/>
  <c r="B9" i="81"/>
  <c r="E9" i="81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O82" i="88" l="1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F9" i="80"/>
  <c r="B9" i="80"/>
  <c r="G9" i="80"/>
  <c r="E6" i="85"/>
  <c r="B6" i="85"/>
  <c r="D6" i="85" s="1"/>
  <c r="B9" i="79"/>
  <c r="D9" i="79" s="1"/>
  <c r="F6" i="85"/>
  <c r="A7" i="85"/>
  <c r="E7" i="85" s="1"/>
  <c r="E9" i="79"/>
  <c r="D5" i="85"/>
  <c r="F9" i="79"/>
  <c r="G7" i="84"/>
  <c r="A10" i="79"/>
  <c r="B10" i="79" s="1"/>
  <c r="D8" i="79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A10" i="80"/>
  <c r="N7" i="60"/>
  <c r="C8" i="8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E9" i="78"/>
  <c r="F9" i="78"/>
  <c r="G9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A11" i="80"/>
  <c r="F10" i="80"/>
  <c r="E10" i="80"/>
  <c r="B10" i="80"/>
  <c r="G10" i="80"/>
  <c r="D9" i="80"/>
  <c r="C9" i="80"/>
  <c r="P11" i="88" l="1"/>
  <c r="B5" i="87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F10" i="79"/>
  <c r="A11" i="79"/>
  <c r="A12" i="79" s="1"/>
  <c r="G10" i="79"/>
  <c r="C9" i="79"/>
  <c r="E8" i="84"/>
  <c r="E10" i="79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AE8" i="63"/>
  <c r="V15" i="63"/>
  <c r="AB15" i="63" s="1"/>
  <c r="AE11" i="70"/>
  <c r="C10" i="82"/>
  <c r="D10" i="82"/>
  <c r="AE13" i="66"/>
  <c r="AE10" i="66"/>
  <c r="V12" i="66"/>
  <c r="AB12" i="66" s="1"/>
  <c r="V16" i="63"/>
  <c r="AB16" i="63" s="1"/>
  <c r="U15" i="70"/>
  <c r="W15" i="70" s="1"/>
  <c r="U12" i="70"/>
  <c r="W12" i="70" s="1"/>
  <c r="B10" i="78"/>
  <c r="G10" i="78"/>
  <c r="E10" i="78"/>
  <c r="B11" i="81"/>
  <c r="A12" i="81"/>
  <c r="G11" i="81"/>
  <c r="F11" i="81"/>
  <c r="E11" i="81"/>
  <c r="U15" i="63"/>
  <c r="W15" i="63" s="1"/>
  <c r="AE14" i="70"/>
  <c r="AE9" i="70"/>
  <c r="V15" i="66"/>
  <c r="AB15" i="66" s="1"/>
  <c r="AE14" i="66"/>
  <c r="AE9" i="66"/>
  <c r="C9" i="78"/>
  <c r="D9" i="78"/>
  <c r="V9" i="63"/>
  <c r="AB9" i="63" s="1"/>
  <c r="AE8" i="70"/>
  <c r="U8" i="70"/>
  <c r="W8" i="70" s="1"/>
  <c r="U7" i="66"/>
  <c r="U10" i="66"/>
  <c r="W10" i="66" s="1"/>
  <c r="V14" i="66"/>
  <c r="AE11" i="63"/>
  <c r="V10" i="70"/>
  <c r="AB10" i="70" s="1"/>
  <c r="V9" i="70"/>
  <c r="AB9" i="70" s="1"/>
  <c r="C10" i="81"/>
  <c r="D10" i="81"/>
  <c r="V10" i="66"/>
  <c r="AE11" i="66"/>
  <c r="U13" i="66"/>
  <c r="W13" i="66" s="1"/>
  <c r="AE14" i="63"/>
  <c r="V16" i="70"/>
  <c r="AB16" i="70" s="1"/>
  <c r="AE16" i="70"/>
  <c r="U12" i="63"/>
  <c r="W12" i="63" s="1"/>
  <c r="AE16" i="63"/>
  <c r="V11" i="63"/>
  <c r="AB11" i="63" s="1"/>
  <c r="V14" i="63"/>
  <c r="AB14" i="63" s="1"/>
  <c r="V7" i="70"/>
  <c r="V13" i="70"/>
  <c r="AB13" i="70" s="1"/>
  <c r="V7" i="66"/>
  <c r="AE8" i="66"/>
  <c r="U15" i="66"/>
  <c r="W15" i="66" s="1"/>
  <c r="AE16" i="66"/>
  <c r="V12" i="63"/>
  <c r="AB12" i="63" s="1"/>
  <c r="AE13" i="70"/>
  <c r="U7" i="70"/>
  <c r="W7" i="70" s="1"/>
  <c r="V14" i="70"/>
  <c r="AB14" i="70" s="1"/>
  <c r="AE10" i="63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C5" i="87"/>
  <c r="D5" i="87"/>
  <c r="AE15" i="66"/>
  <c r="U16" i="66"/>
  <c r="W16" i="66" s="1"/>
  <c r="V8" i="66"/>
  <c r="V10" i="63"/>
  <c r="AB10" i="63" s="1"/>
  <c r="G11" i="82"/>
  <c r="F11" i="82"/>
  <c r="B11" i="82"/>
  <c r="E11" i="82"/>
  <c r="A12" i="82"/>
  <c r="U16" i="63"/>
  <c r="W16" i="63" s="1"/>
  <c r="AE9" i="63"/>
  <c r="V8" i="63"/>
  <c r="AB8" i="63" s="1"/>
  <c r="U14" i="63"/>
  <c r="W14" i="63" s="1"/>
  <c r="U7" i="63"/>
  <c r="W7" i="63" s="1"/>
  <c r="V12" i="70"/>
  <c r="AB12" i="70" s="1"/>
  <c r="AE12" i="70"/>
  <c r="C10" i="79"/>
  <c r="D10" i="79"/>
  <c r="U9" i="66"/>
  <c r="W9" i="66" s="1"/>
  <c r="AE13" i="63"/>
  <c r="AE12" i="63"/>
  <c r="U10" i="63"/>
  <c r="W10" i="63" s="1"/>
  <c r="U11" i="70"/>
  <c r="W11" i="70" s="1"/>
  <c r="V15" i="70"/>
  <c r="AB15" i="70" s="1"/>
  <c r="U14" i="66"/>
  <c r="W14" i="66" s="1"/>
  <c r="V13" i="66"/>
  <c r="AE15" i="63"/>
  <c r="U9" i="63"/>
  <c r="W9" i="63" s="1"/>
  <c r="V13" i="63"/>
  <c r="AB13" i="63" s="1"/>
  <c r="G11" i="80"/>
  <c r="B11" i="80"/>
  <c r="E11" i="80"/>
  <c r="F11" i="80"/>
  <c r="A12" i="80"/>
  <c r="C10" i="80"/>
  <c r="D10" i="80"/>
  <c r="A7" i="87" l="1"/>
  <c r="E6" i="87"/>
  <c r="B6" i="87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G11" i="79"/>
  <c r="E11" i="79"/>
  <c r="F11" i="79"/>
  <c r="B11" i="79"/>
  <c r="C11" i="79" s="1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AE7" i="70" s="1"/>
  <c r="AE7" i="68" s="1"/>
  <c r="AE7" i="69" s="1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3"/>
  <c r="AC12" i="63" s="1"/>
  <c r="AD12" i="63" s="1"/>
  <c r="AA12" i="66"/>
  <c r="AC12" i="66" s="1"/>
  <c r="AA16" i="66"/>
  <c r="AC16" i="66" s="1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63"/>
  <c r="AC15" i="63" s="1"/>
  <c r="AD15" i="63" s="1"/>
  <c r="AA15" i="70"/>
  <c r="AC15" i="70" s="1"/>
  <c r="AD15" i="70" s="1"/>
  <c r="AA10" i="70"/>
  <c r="AC10" i="70" s="1"/>
  <c r="AD10" i="70" s="1"/>
  <c r="AA11" i="66"/>
  <c r="AC11" i="66" s="1"/>
  <c r="D11" i="82"/>
  <c r="C11" i="82"/>
  <c r="C6" i="87"/>
  <c r="D6" i="87"/>
  <c r="AA11" i="63"/>
  <c r="AC11" i="63" s="1"/>
  <c r="AD11" i="63" s="1"/>
  <c r="AA9" i="63"/>
  <c r="AC9" i="63" s="1"/>
  <c r="AD9" i="63" s="1"/>
  <c r="B11" i="78"/>
  <c r="F11" i="78"/>
  <c r="E11" i="78"/>
  <c r="G11" i="78"/>
  <c r="A12" i="78"/>
  <c r="AA13" i="63"/>
  <c r="AC13" i="63" s="1"/>
  <c r="AD13" i="63" s="1"/>
  <c r="AA10" i="63"/>
  <c r="AC10" i="63" s="1"/>
  <c r="AD10" i="63" s="1"/>
  <c r="AA14" i="63"/>
  <c r="AC14" i="63" s="1"/>
  <c r="AD14" i="63" s="1"/>
  <c r="AA13" i="66"/>
  <c r="AC13" i="66" s="1"/>
  <c r="AA14" i="66"/>
  <c r="AA15" i="66"/>
  <c r="AC15" i="66" s="1"/>
  <c r="C10" i="78"/>
  <c r="D10" i="78"/>
  <c r="W7" i="66"/>
  <c r="AA7" i="66"/>
  <c r="AA13" i="70"/>
  <c r="AC13" i="70" s="1"/>
  <c r="AD13" i="70" s="1"/>
  <c r="AA16" i="63"/>
  <c r="AC16" i="63" s="1"/>
  <c r="AD16" i="63" s="1"/>
  <c r="AA8" i="70"/>
  <c r="AC8" i="70" s="1"/>
  <c r="AD8" i="70" s="1"/>
  <c r="G12" i="82"/>
  <c r="F12" i="82"/>
  <c r="A13" i="82"/>
  <c r="E12" i="82"/>
  <c r="B12" i="82"/>
  <c r="G7" i="87"/>
  <c r="F7" i="87"/>
  <c r="B7" i="87"/>
  <c r="E7" i="87"/>
  <c r="A8" i="87"/>
  <c r="G12" i="79"/>
  <c r="B12" i="79"/>
  <c r="A13" i="79"/>
  <c r="E12" i="79"/>
  <c r="F12" i="79"/>
  <c r="AA11" i="70"/>
  <c r="AC11" i="70" s="1"/>
  <c r="AD11" i="70" s="1"/>
  <c r="AA8" i="63"/>
  <c r="AC8" i="63" s="1"/>
  <c r="AD8" i="63" s="1"/>
  <c r="AA9" i="66"/>
  <c r="AC9" i="66" s="1"/>
  <c r="B12" i="81"/>
  <c r="A13" i="81"/>
  <c r="G12" i="81"/>
  <c r="E12" i="81"/>
  <c r="F12" i="81"/>
  <c r="AA16" i="70"/>
  <c r="AC16" i="70" s="1"/>
  <c r="AD16" i="70" s="1"/>
  <c r="D11" i="81"/>
  <c r="C11" i="81"/>
  <c r="A13" i="80"/>
  <c r="F12" i="80"/>
  <c r="E12" i="80"/>
  <c r="G12" i="80"/>
  <c r="B12" i="80"/>
  <c r="C11" i="80"/>
  <c r="D11" i="80"/>
  <c r="AC8" i="66" l="1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D11" i="79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B7" i="88"/>
  <c r="D7" i="88" s="1"/>
  <c r="AC7" i="66"/>
  <c r="E13" i="79"/>
  <c r="A14" i="79"/>
  <c r="F13" i="79"/>
  <c r="G13" i="79"/>
  <c r="B13" i="79"/>
  <c r="C12" i="79"/>
  <c r="D12" i="79"/>
  <c r="E8" i="87"/>
  <c r="B8" i="87"/>
  <c r="G8" i="87"/>
  <c r="F8" i="87"/>
  <c r="A9" i="87"/>
  <c r="B12" i="78"/>
  <c r="G12" i="78"/>
  <c r="E12" i="78"/>
  <c r="A13" i="78"/>
  <c r="F12" i="78"/>
  <c r="B13" i="81"/>
  <c r="E13" i="81"/>
  <c r="G13" i="81"/>
  <c r="A14" i="81"/>
  <c r="F13" i="81"/>
  <c r="C7" i="87"/>
  <c r="D7" i="87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B12" i="84"/>
  <c r="F12" i="84"/>
  <c r="E12" i="84"/>
  <c r="G12" i="84"/>
  <c r="B13" i="80"/>
  <c r="E13" i="80"/>
  <c r="A14" i="80"/>
  <c r="G13" i="80"/>
  <c r="F13" i="80"/>
  <c r="C12" i="80"/>
  <c r="D12" i="80"/>
  <c r="G7" i="88" l="1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C7" i="88"/>
  <c r="E8" i="88"/>
  <c r="F8" i="88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B9" i="87"/>
  <c r="G9" i="87"/>
  <c r="F9" i="87"/>
  <c r="E9" i="87"/>
  <c r="A10" i="87"/>
  <c r="D12" i="84"/>
  <c r="C12" i="84"/>
  <c r="G14" i="81"/>
  <c r="A15" i="81"/>
  <c r="F14" i="81"/>
  <c r="B14" i="81"/>
  <c r="E14" i="81"/>
  <c r="G13" i="84"/>
  <c r="F13" i="84"/>
  <c r="B13" i="84"/>
  <c r="E13" i="84"/>
  <c r="A14" i="84"/>
  <c r="D8" i="87"/>
  <c r="C8" i="87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3" i="80"/>
  <c r="D13" i="80"/>
  <c r="E14" i="80"/>
  <c r="F14" i="80"/>
  <c r="G14" i="80"/>
  <c r="A15" i="80"/>
  <c r="B14" i="80"/>
  <c r="A9" i="88" l="1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D7" i="72" s="1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C9" i="87"/>
  <c r="D9" i="87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B10" i="87"/>
  <c r="E10" i="87"/>
  <c r="A11" i="87"/>
  <c r="F10" i="87"/>
  <c r="G10" i="87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C14" i="80"/>
  <c r="D14" i="80"/>
  <c r="B15" i="80"/>
  <c r="A16" i="80"/>
  <c r="F15" i="80"/>
  <c r="G15" i="80"/>
  <c r="E15" i="80"/>
  <c r="C8" i="88" l="1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C13" i="72"/>
  <c r="E13" i="72"/>
  <c r="F12" i="72"/>
  <c r="H12" i="72" s="1"/>
  <c r="E12" i="72"/>
  <c r="E7" i="72"/>
  <c r="C12" i="72"/>
  <c r="F7" i="72"/>
  <c r="H7" i="72" s="1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C9" i="88"/>
  <c r="F13" i="85"/>
  <c r="G13" i="85"/>
  <c r="A14" i="85"/>
  <c r="B13" i="85"/>
  <c r="E13" i="85"/>
  <c r="D10" i="87"/>
  <c r="C10" i="87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12" i="87"/>
  <c r="G11" i="87"/>
  <c r="B11" i="87"/>
  <c r="E11" i="87"/>
  <c r="F11" i="87"/>
  <c r="G16" i="80"/>
  <c r="A17" i="80"/>
  <c r="B16" i="80"/>
  <c r="E16" i="80"/>
  <c r="F16" i="80"/>
  <c r="C15" i="80"/>
  <c r="D15" i="80"/>
  <c r="F10" i="88" l="1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I14" i="72" s="1"/>
  <c r="G9" i="72"/>
  <c r="I9" i="72" s="1"/>
  <c r="G15" i="72"/>
  <c r="I15" i="72" s="1"/>
  <c r="G13" i="72"/>
  <c r="I13" i="72" s="1"/>
  <c r="G7" i="72"/>
  <c r="I7" i="72" s="1"/>
  <c r="G12" i="72"/>
  <c r="G8" i="72"/>
  <c r="I8" i="72" s="1"/>
  <c r="H11" i="72"/>
  <c r="AB7" i="63" s="1"/>
  <c r="H16" i="72"/>
  <c r="G10" i="72"/>
  <c r="I10" i="72" s="1"/>
  <c r="D15" i="83"/>
  <c r="C15" i="83"/>
  <c r="A17" i="83"/>
  <c r="E16" i="83"/>
  <c r="B16" i="83"/>
  <c r="F16" i="83"/>
  <c r="G16" i="83"/>
  <c r="A12" i="88"/>
  <c r="A13" i="88" s="1"/>
  <c r="B11" i="88"/>
  <c r="D11" i="88" s="1"/>
  <c r="E11" i="88"/>
  <c r="F11" i="88"/>
  <c r="D10" i="88"/>
  <c r="F13" i="86"/>
  <c r="E13" i="86"/>
  <c r="G13" i="86"/>
  <c r="D16" i="82"/>
  <c r="C16" i="82"/>
  <c r="B17" i="81"/>
  <c r="E17" i="81"/>
  <c r="F17" i="81"/>
  <c r="G17" i="81"/>
  <c r="A18" i="81"/>
  <c r="D11" i="87"/>
  <c r="C11" i="87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E14" i="86"/>
  <c r="B14" i="86"/>
  <c r="G14" i="86"/>
  <c r="A15" i="86"/>
  <c r="E17" i="80"/>
  <c r="A18" i="80"/>
  <c r="F17" i="80"/>
  <c r="B17" i="80"/>
  <c r="G17" i="80"/>
  <c r="C16" i="80"/>
  <c r="D16" i="80"/>
  <c r="B13" i="86" l="1"/>
  <c r="C13" i="86" s="1"/>
  <c r="C12" i="86"/>
  <c r="I12" i="72"/>
  <c r="AA7" i="63"/>
  <c r="AC7" i="63" s="1"/>
  <c r="AD7" i="63" s="1"/>
  <c r="B15" i="73" s="1"/>
  <c r="F15" i="73" s="1"/>
  <c r="C16" i="83"/>
  <c r="D16" i="83"/>
  <c r="E17" i="83"/>
  <c r="F17" i="83"/>
  <c r="G17" i="83"/>
  <c r="B17" i="83"/>
  <c r="A18" i="83"/>
  <c r="E12" i="88"/>
  <c r="F12" i="88"/>
  <c r="B12" i="88"/>
  <c r="C12" i="88" s="1"/>
  <c r="G12" i="88"/>
  <c r="C11" i="88"/>
  <c r="D13" i="86"/>
  <c r="C14" i="85"/>
  <c r="D14" i="85"/>
  <c r="G15" i="85"/>
  <c r="B15" i="85"/>
  <c r="E15" i="85"/>
  <c r="F15" i="85"/>
  <c r="A16" i="85"/>
  <c r="C17" i="79"/>
  <c r="D17" i="79"/>
  <c r="D17" i="82"/>
  <c r="C17" i="82"/>
  <c r="F13" i="88"/>
  <c r="E13" i="88"/>
  <c r="B13" i="88"/>
  <c r="A14" i="88"/>
  <c r="G13" i="88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G15" i="86"/>
  <c r="B15" i="86"/>
  <c r="E15" i="86"/>
  <c r="A16" i="86"/>
  <c r="F15" i="86"/>
  <c r="D17" i="81"/>
  <c r="C17" i="81"/>
  <c r="C14" i="86"/>
  <c r="D14" i="86"/>
  <c r="E13" i="87"/>
  <c r="B13" i="87"/>
  <c r="G13" i="87"/>
  <c r="F13" i="87"/>
  <c r="A14" i="87"/>
  <c r="B18" i="80"/>
  <c r="G18" i="80"/>
  <c r="F18" i="80"/>
  <c r="E18" i="80"/>
  <c r="A19" i="80"/>
  <c r="C17" i="80"/>
  <c r="D17" i="80"/>
  <c r="B10" i="73" l="1"/>
  <c r="H10" i="73" s="1"/>
  <c r="B16" i="73"/>
  <c r="D16" i="73" s="1"/>
  <c r="D15" i="73"/>
  <c r="E15" i="73"/>
  <c r="B11" i="73"/>
  <c r="G11" i="73" s="1"/>
  <c r="B14" i="73"/>
  <c r="C14" i="73" s="1"/>
  <c r="B13" i="73"/>
  <c r="E13" i="73" s="1"/>
  <c r="B12" i="73"/>
  <c r="E12" i="73" s="1"/>
  <c r="B8" i="73"/>
  <c r="C15" i="73"/>
  <c r="B7" i="73"/>
  <c r="G15" i="73"/>
  <c r="B9" i="73"/>
  <c r="H15" i="73"/>
  <c r="A19" i="83"/>
  <c r="B18" i="83"/>
  <c r="G18" i="83"/>
  <c r="F18" i="83"/>
  <c r="E18" i="83"/>
  <c r="D17" i="83"/>
  <c r="C17" i="83"/>
  <c r="D12" i="88"/>
  <c r="A17" i="86"/>
  <c r="F16" i="86"/>
  <c r="B16" i="86"/>
  <c r="G16" i="86"/>
  <c r="E16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E14" i="88"/>
  <c r="A15" i="88"/>
  <c r="G14" i="88"/>
  <c r="F14" i="88"/>
  <c r="B14" i="88"/>
  <c r="D15" i="86"/>
  <c r="C15" i="86"/>
  <c r="D17" i="84"/>
  <c r="C17" i="84"/>
  <c r="C13" i="88"/>
  <c r="D13" i="88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19" i="80"/>
  <c r="F19" i="80"/>
  <c r="A20" i="80"/>
  <c r="B19" i="80"/>
  <c r="G19" i="80"/>
  <c r="C18" i="80"/>
  <c r="D18" i="80"/>
  <c r="C10" i="73" l="1"/>
  <c r="E10" i="73"/>
  <c r="F16" i="73"/>
  <c r="H16" i="73"/>
  <c r="C16" i="73"/>
  <c r="E16" i="73"/>
  <c r="G16" i="73"/>
  <c r="G10" i="73"/>
  <c r="F11" i="73"/>
  <c r="J15" i="73"/>
  <c r="F10" i="73"/>
  <c r="D11" i="73"/>
  <c r="D10" i="73"/>
  <c r="D14" i="73"/>
  <c r="H14" i="73"/>
  <c r="G12" i="73"/>
  <c r="G14" i="73"/>
  <c r="H11" i="73"/>
  <c r="F12" i="73"/>
  <c r="D12" i="73"/>
  <c r="E11" i="73"/>
  <c r="D13" i="73"/>
  <c r="C11" i="73"/>
  <c r="E14" i="73"/>
  <c r="I15" i="73"/>
  <c r="K15" i="73" s="1"/>
  <c r="H12" i="73"/>
  <c r="C12" i="73"/>
  <c r="F13" i="73"/>
  <c r="C13" i="73"/>
  <c r="H13" i="73"/>
  <c r="G13" i="73"/>
  <c r="F14" i="73"/>
  <c r="AA7" i="70"/>
  <c r="F8" i="73"/>
  <c r="C8" i="73"/>
  <c r="G8" i="73"/>
  <c r="E8" i="73"/>
  <c r="H8" i="73"/>
  <c r="D8" i="73"/>
  <c r="E9" i="73"/>
  <c r="D9" i="73"/>
  <c r="G9" i="73"/>
  <c r="C9" i="73"/>
  <c r="F9" i="73"/>
  <c r="H9" i="73"/>
  <c r="H7" i="73"/>
  <c r="G7" i="73"/>
  <c r="D7" i="73"/>
  <c r="E7" i="73"/>
  <c r="C7" i="73"/>
  <c r="F7" i="73"/>
  <c r="AB7" i="70"/>
  <c r="E19" i="83"/>
  <c r="G19" i="83"/>
  <c r="A20" i="83"/>
  <c r="F19" i="83"/>
  <c r="B19" i="83"/>
  <c r="C18" i="83"/>
  <c r="D18" i="83"/>
  <c r="C16" i="85"/>
  <c r="D16" i="85"/>
  <c r="C14" i="87"/>
  <c r="D14" i="87"/>
  <c r="D14" i="88"/>
  <c r="C14" i="88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E15" i="88"/>
  <c r="G15" i="88"/>
  <c r="F15" i="88"/>
  <c r="B15" i="88"/>
  <c r="A16" i="88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D16" i="86"/>
  <c r="C16" i="86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F20" i="80"/>
  <c r="A21" i="80"/>
  <c r="E20" i="80"/>
  <c r="B20" i="80"/>
  <c r="G20" i="80"/>
  <c r="I16" i="73" l="1"/>
  <c r="K16" i="73" s="1"/>
  <c r="I10" i="73"/>
  <c r="K10" i="73" s="1"/>
  <c r="J16" i="73"/>
  <c r="J10" i="73"/>
  <c r="J11" i="73"/>
  <c r="J14" i="73"/>
  <c r="I11" i="73"/>
  <c r="K11" i="73" s="1"/>
  <c r="I14" i="73"/>
  <c r="K14" i="73" s="1"/>
  <c r="I12" i="73"/>
  <c r="K12" i="73" s="1"/>
  <c r="J12" i="73"/>
  <c r="J13" i="73"/>
  <c r="I9" i="73"/>
  <c r="K9" i="73" s="1"/>
  <c r="AC7" i="70"/>
  <c r="AD7" i="70" s="1"/>
  <c r="B10" i="74" s="1"/>
  <c r="H10" i="74" s="1"/>
  <c r="I13" i="73"/>
  <c r="K13" i="73" s="1"/>
  <c r="J8" i="73"/>
  <c r="J7" i="73"/>
  <c r="I8" i="73"/>
  <c r="K8" i="73" s="1"/>
  <c r="J9" i="73"/>
  <c r="I7" i="73"/>
  <c r="K7" i="73" s="1"/>
  <c r="D19" i="83"/>
  <c r="C19" i="83"/>
  <c r="E20" i="83"/>
  <c r="F20" i="83"/>
  <c r="B20" i="83"/>
  <c r="A21" i="83"/>
  <c r="G20" i="83"/>
  <c r="C19" i="78"/>
  <c r="D19" i="78"/>
  <c r="A17" i="88"/>
  <c r="B16" i="88"/>
  <c r="F16" i="88"/>
  <c r="G16" i="88"/>
  <c r="E16" i="88"/>
  <c r="B21" i="82"/>
  <c r="E21" i="82"/>
  <c r="G21" i="82"/>
  <c r="A22" i="82"/>
  <c r="F21" i="82"/>
  <c r="D15" i="88"/>
  <c r="C15" i="88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D20" i="80"/>
  <c r="C20" i="80"/>
  <c r="E21" i="80"/>
  <c r="F21" i="80"/>
  <c r="G21" i="80"/>
  <c r="B21" i="80"/>
  <c r="A22" i="80"/>
  <c r="B7" i="74" l="1"/>
  <c r="C7" i="74" s="1"/>
  <c r="B15" i="74"/>
  <c r="C15" i="74" s="1"/>
  <c r="B13" i="74"/>
  <c r="J13" i="74" s="1"/>
  <c r="B11" i="74"/>
  <c r="H11" i="74" s="1"/>
  <c r="B14" i="74"/>
  <c r="H14" i="74" s="1"/>
  <c r="B16" i="74"/>
  <c r="G16" i="74" s="1"/>
  <c r="B8" i="74"/>
  <c r="J8" i="74" s="1"/>
  <c r="B9" i="74"/>
  <c r="G9" i="74" s="1"/>
  <c r="B12" i="74"/>
  <c r="I12" i="74" s="1"/>
  <c r="I10" i="74"/>
  <c r="E10" i="74"/>
  <c r="D10" i="74"/>
  <c r="G10" i="74"/>
  <c r="C10" i="74"/>
  <c r="J10" i="74"/>
  <c r="F10" i="74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C16" i="88"/>
  <c r="D16" i="88"/>
  <c r="D20" i="78"/>
  <c r="C20" i="78"/>
  <c r="C16" i="87"/>
  <c r="D16" i="87"/>
  <c r="E17" i="88"/>
  <c r="G17" i="88"/>
  <c r="F17" i="88"/>
  <c r="A18" i="88"/>
  <c r="B17" i="88"/>
  <c r="A23" i="81"/>
  <c r="B22" i="81"/>
  <c r="E22" i="81"/>
  <c r="F22" i="81"/>
  <c r="G22" i="81"/>
  <c r="A23" i="80"/>
  <c r="E22" i="80"/>
  <c r="B22" i="80"/>
  <c r="G22" i="80"/>
  <c r="F22" i="80"/>
  <c r="D21" i="80"/>
  <c r="C21" i="80"/>
  <c r="D7" i="74" l="1"/>
  <c r="I7" i="74"/>
  <c r="G7" i="74"/>
  <c r="H15" i="74"/>
  <c r="F7" i="74"/>
  <c r="C11" i="74"/>
  <c r="G14" i="74"/>
  <c r="J11" i="74"/>
  <c r="I11" i="74"/>
  <c r="G11" i="74"/>
  <c r="F11" i="74"/>
  <c r="D11" i="74"/>
  <c r="E13" i="74"/>
  <c r="E7" i="74"/>
  <c r="J7" i="74"/>
  <c r="F13" i="74"/>
  <c r="G13" i="74"/>
  <c r="I13" i="74"/>
  <c r="D13" i="74"/>
  <c r="H7" i="74"/>
  <c r="C13" i="74"/>
  <c r="F15" i="74"/>
  <c r="G15" i="74"/>
  <c r="E15" i="74"/>
  <c r="J15" i="74"/>
  <c r="I15" i="74"/>
  <c r="D15" i="74"/>
  <c r="E11" i="74"/>
  <c r="E14" i="74"/>
  <c r="D14" i="74"/>
  <c r="H13" i="74"/>
  <c r="H8" i="74"/>
  <c r="J14" i="74"/>
  <c r="I14" i="74"/>
  <c r="F14" i="74"/>
  <c r="C14" i="74"/>
  <c r="J16" i="74"/>
  <c r="F8" i="74"/>
  <c r="E8" i="74"/>
  <c r="E16" i="74"/>
  <c r="C16" i="74"/>
  <c r="G8" i="74"/>
  <c r="D16" i="74"/>
  <c r="I8" i="74"/>
  <c r="D8" i="74"/>
  <c r="C8" i="74"/>
  <c r="F16" i="74"/>
  <c r="H16" i="74"/>
  <c r="I16" i="74"/>
  <c r="J9" i="74"/>
  <c r="D12" i="74"/>
  <c r="H9" i="74"/>
  <c r="F12" i="74"/>
  <c r="G12" i="74"/>
  <c r="E12" i="74"/>
  <c r="D9" i="74"/>
  <c r="J12" i="74"/>
  <c r="C12" i="74"/>
  <c r="H12" i="74"/>
  <c r="AA7" i="68"/>
  <c r="F9" i="74"/>
  <c r="E9" i="74"/>
  <c r="AB7" i="68"/>
  <c r="C9" i="74"/>
  <c r="I9" i="74"/>
  <c r="L10" i="74"/>
  <c r="K10" i="74"/>
  <c r="M10" i="74" s="1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C17" i="88"/>
  <c r="D17" i="88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L11" i="74" l="1"/>
  <c r="K7" i="74"/>
  <c r="M7" i="74" s="1"/>
  <c r="K11" i="74"/>
  <c r="M11" i="74" s="1"/>
  <c r="L15" i="74"/>
  <c r="K15" i="74"/>
  <c r="M15" i="74" s="1"/>
  <c r="K13" i="74"/>
  <c r="M13" i="74" s="1"/>
  <c r="L7" i="74"/>
  <c r="L13" i="74"/>
  <c r="L14" i="74"/>
  <c r="K14" i="74"/>
  <c r="M14" i="74" s="1"/>
  <c r="L8" i="74"/>
  <c r="K8" i="74"/>
  <c r="M8" i="74" s="1"/>
  <c r="K16" i="74"/>
  <c r="M16" i="74" s="1"/>
  <c r="L16" i="74"/>
  <c r="L9" i="74"/>
  <c r="L12" i="74"/>
  <c r="K12" i="74"/>
  <c r="M12" i="74" s="1"/>
  <c r="AC7" i="68"/>
  <c r="AD7" i="68" s="1"/>
  <c r="B13" i="75" s="1"/>
  <c r="G13" i="75" s="1"/>
  <c r="K9" i="74"/>
  <c r="M9" i="74" s="1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B16" i="75" l="1"/>
  <c r="E16" i="75" s="1"/>
  <c r="B9" i="75"/>
  <c r="C9" i="75" s="1"/>
  <c r="B8" i="75"/>
  <c r="I8" i="75" s="1"/>
  <c r="B10" i="75"/>
  <c r="F10" i="75" s="1"/>
  <c r="H13" i="75"/>
  <c r="B15" i="75"/>
  <c r="I15" i="75" s="1"/>
  <c r="B11" i="75"/>
  <c r="C11" i="75" s="1"/>
  <c r="B12" i="75"/>
  <c r="C12" i="75" s="1"/>
  <c r="C13" i="75"/>
  <c r="K13" i="75"/>
  <c r="D13" i="75"/>
  <c r="B7" i="75"/>
  <c r="E7" i="75" s="1"/>
  <c r="B14" i="75"/>
  <c r="G14" i="75" s="1"/>
  <c r="F13" i="75"/>
  <c r="E13" i="75"/>
  <c r="I13" i="75"/>
  <c r="L13" i="75"/>
  <c r="J13" i="75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I11" i="75" l="1"/>
  <c r="C16" i="75"/>
  <c r="G16" i="75"/>
  <c r="H16" i="75"/>
  <c r="I16" i="75"/>
  <c r="D16" i="75"/>
  <c r="K16" i="75"/>
  <c r="J9" i="75"/>
  <c r="K9" i="75"/>
  <c r="L9" i="75"/>
  <c r="F16" i="75"/>
  <c r="L16" i="75"/>
  <c r="J16" i="75"/>
  <c r="I9" i="75"/>
  <c r="G9" i="75"/>
  <c r="F9" i="75"/>
  <c r="D9" i="75"/>
  <c r="H9" i="75"/>
  <c r="E9" i="75"/>
  <c r="C8" i="75"/>
  <c r="K10" i="75"/>
  <c r="L10" i="75"/>
  <c r="E8" i="75"/>
  <c r="D10" i="75"/>
  <c r="D8" i="75"/>
  <c r="I10" i="75"/>
  <c r="J10" i="75"/>
  <c r="C10" i="75"/>
  <c r="J12" i="75"/>
  <c r="J8" i="75"/>
  <c r="L15" i="75"/>
  <c r="G10" i="75"/>
  <c r="K15" i="75"/>
  <c r="H8" i="75"/>
  <c r="F15" i="75"/>
  <c r="H10" i="75"/>
  <c r="F8" i="75"/>
  <c r="K8" i="75"/>
  <c r="G8" i="75"/>
  <c r="E10" i="75"/>
  <c r="L8" i="75"/>
  <c r="H11" i="75"/>
  <c r="F11" i="75"/>
  <c r="D11" i="75"/>
  <c r="C15" i="75"/>
  <c r="J11" i="75"/>
  <c r="H15" i="75"/>
  <c r="D15" i="75"/>
  <c r="E12" i="75"/>
  <c r="G12" i="75"/>
  <c r="E11" i="75"/>
  <c r="J15" i="75"/>
  <c r="M13" i="75"/>
  <c r="O13" i="75" s="1"/>
  <c r="K11" i="75"/>
  <c r="G15" i="75"/>
  <c r="I12" i="75"/>
  <c r="D12" i="75"/>
  <c r="I14" i="75"/>
  <c r="F12" i="75"/>
  <c r="G11" i="75"/>
  <c r="L12" i="75"/>
  <c r="K12" i="75"/>
  <c r="H12" i="75"/>
  <c r="F14" i="75"/>
  <c r="L14" i="75"/>
  <c r="K14" i="75"/>
  <c r="C7" i="75"/>
  <c r="J7" i="75"/>
  <c r="E15" i="75"/>
  <c r="H14" i="75"/>
  <c r="N13" i="75"/>
  <c r="AB7" i="69"/>
  <c r="I7" i="75"/>
  <c r="J14" i="75"/>
  <c r="D14" i="75"/>
  <c r="F7" i="75"/>
  <c r="L7" i="75"/>
  <c r="AA7" i="69"/>
  <c r="E14" i="75"/>
  <c r="D7" i="75"/>
  <c r="H7" i="75"/>
  <c r="G7" i="75"/>
  <c r="L11" i="75"/>
  <c r="K7" i="75"/>
  <c r="C14" i="75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M16" i="75" l="1"/>
  <c r="O16" i="75" s="1"/>
  <c r="N16" i="75"/>
  <c r="M9" i="75"/>
  <c r="O9" i="75" s="1"/>
  <c r="N9" i="75"/>
  <c r="N10" i="75"/>
  <c r="M10" i="75"/>
  <c r="O10" i="75" s="1"/>
  <c r="N8" i="75"/>
  <c r="M8" i="75"/>
  <c r="O8" i="75" s="1"/>
  <c r="N15" i="75"/>
  <c r="N11" i="75"/>
  <c r="M11" i="75"/>
  <c r="O11" i="75" s="1"/>
  <c r="M12" i="75"/>
  <c r="O12" i="75" s="1"/>
  <c r="N12" i="75"/>
  <c r="M15" i="75"/>
  <c r="O15" i="75" s="1"/>
  <c r="N14" i="75"/>
  <c r="AC7" i="69"/>
  <c r="AD7" i="69" s="1"/>
  <c r="B16" i="77" s="1"/>
  <c r="K16" i="77" s="1"/>
  <c r="N7" i="75"/>
  <c r="M14" i="75"/>
  <c r="O14" i="75" s="1"/>
  <c r="M7" i="75"/>
  <c r="O7" i="75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B8" i="77" l="1"/>
  <c r="C8" i="77" s="1"/>
  <c r="H16" i="77"/>
  <c r="B9" i="77"/>
  <c r="N9" i="77" s="1"/>
  <c r="B13" i="77"/>
  <c r="M13" i="77" s="1"/>
  <c r="J16" i="77"/>
  <c r="B15" i="77"/>
  <c r="L15" i="77" s="1"/>
  <c r="B12" i="77"/>
  <c r="L12" i="77" s="1"/>
  <c r="B14" i="77"/>
  <c r="K14" i="77" s="1"/>
  <c r="B11" i="77"/>
  <c r="H11" i="77" s="1"/>
  <c r="D16" i="77"/>
  <c r="G16" i="77"/>
  <c r="L16" i="77"/>
  <c r="I16" i="77"/>
  <c r="B10" i="77"/>
  <c r="E10" i="77" s="1"/>
  <c r="B7" i="77"/>
  <c r="M7" i="77" s="1"/>
  <c r="N16" i="77"/>
  <c r="C16" i="77"/>
  <c r="M16" i="77"/>
  <c r="E16" i="77"/>
  <c r="F16" i="77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K8" i="77" l="1"/>
  <c r="I8" i="77"/>
  <c r="H8" i="77"/>
  <c r="D8" i="77"/>
  <c r="M8" i="77"/>
  <c r="E8" i="77"/>
  <c r="L8" i="77"/>
  <c r="G8" i="77"/>
  <c r="I12" i="77"/>
  <c r="D12" i="77"/>
  <c r="I13" i="77"/>
  <c r="H12" i="77"/>
  <c r="N8" i="77"/>
  <c r="K12" i="77"/>
  <c r="C12" i="77"/>
  <c r="J8" i="77"/>
  <c r="C13" i="77"/>
  <c r="F8" i="77"/>
  <c r="G13" i="77"/>
  <c r="L13" i="77"/>
  <c r="H9" i="77"/>
  <c r="H13" i="77"/>
  <c r="D13" i="77"/>
  <c r="F13" i="77"/>
  <c r="K13" i="77"/>
  <c r="C9" i="77"/>
  <c r="K9" i="77"/>
  <c r="J13" i="77"/>
  <c r="E9" i="77"/>
  <c r="M9" i="77"/>
  <c r="N13" i="77"/>
  <c r="G12" i="77"/>
  <c r="D9" i="77"/>
  <c r="E13" i="77"/>
  <c r="N12" i="77"/>
  <c r="J12" i="77"/>
  <c r="C15" i="77"/>
  <c r="L9" i="77"/>
  <c r="H15" i="77"/>
  <c r="F15" i="77"/>
  <c r="G15" i="77"/>
  <c r="F12" i="77"/>
  <c r="H14" i="77"/>
  <c r="K15" i="77"/>
  <c r="E14" i="77"/>
  <c r="C14" i="77"/>
  <c r="N15" i="77"/>
  <c r="D15" i="77"/>
  <c r="M15" i="77"/>
  <c r="E12" i="77"/>
  <c r="G9" i="77"/>
  <c r="I10" i="77"/>
  <c r="J9" i="77"/>
  <c r="I11" i="77"/>
  <c r="I15" i="77"/>
  <c r="E15" i="77"/>
  <c r="J15" i="77"/>
  <c r="I9" i="77"/>
  <c r="F9" i="77"/>
  <c r="L14" i="77"/>
  <c r="G14" i="77"/>
  <c r="J14" i="77"/>
  <c r="L11" i="77"/>
  <c r="I14" i="77"/>
  <c r="F14" i="77"/>
  <c r="D14" i="77"/>
  <c r="M12" i="77"/>
  <c r="J11" i="77"/>
  <c r="C11" i="77"/>
  <c r="F11" i="77"/>
  <c r="D11" i="77"/>
  <c r="G11" i="77"/>
  <c r="M14" i="77"/>
  <c r="N11" i="77"/>
  <c r="N14" i="77"/>
  <c r="E11" i="77"/>
  <c r="K11" i="77"/>
  <c r="M11" i="77"/>
  <c r="N7" i="77"/>
  <c r="L10" i="77"/>
  <c r="H7" i="77"/>
  <c r="N10" i="77"/>
  <c r="J7" i="77"/>
  <c r="C10" i="77"/>
  <c r="C7" i="77"/>
  <c r="I7" i="77"/>
  <c r="F10" i="77"/>
  <c r="K10" i="77"/>
  <c r="D10" i="77"/>
  <c r="K7" i="77"/>
  <c r="G10" i="77"/>
  <c r="J10" i="77"/>
  <c r="E7" i="77"/>
  <c r="G7" i="77"/>
  <c r="D7" i="77"/>
  <c r="F7" i="77"/>
  <c r="P16" i="77"/>
  <c r="L7" i="77"/>
  <c r="M10" i="77"/>
  <c r="H10" i="77"/>
  <c r="O16" i="77"/>
  <c r="Q16" i="77" s="1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O8" i="77" l="1"/>
  <c r="Q8" i="77" s="1"/>
  <c r="P8" i="77"/>
  <c r="O13" i="77"/>
  <c r="Q13" i="77" s="1"/>
  <c r="P13" i="77"/>
  <c r="P12" i="77"/>
  <c r="O14" i="77"/>
  <c r="Q14" i="77" s="1"/>
  <c r="O15" i="77"/>
  <c r="Q15" i="77" s="1"/>
  <c r="O12" i="77"/>
  <c r="Q12" i="77" s="1"/>
  <c r="P15" i="77"/>
  <c r="O9" i="77"/>
  <c r="Q9" i="77" s="1"/>
  <c r="P9" i="77"/>
  <c r="P14" i="77"/>
  <c r="P11" i="77"/>
  <c r="O11" i="77"/>
  <c r="Q11" i="77" s="1"/>
  <c r="O7" i="77"/>
  <c r="Q7" i="77" s="1"/>
  <c r="O10" i="77"/>
  <c r="Q10" i="77" s="1"/>
  <c r="P7" i="77"/>
  <c r="P10" i="77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C29" i="83" l="1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C30" i="83" l="1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C31" i="83" l="1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C32" i="83" l="1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D33" i="83" l="1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D34" i="83" l="1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<sst xmlns="http://schemas.openxmlformats.org/spreadsheetml/2006/main" count="22098" uniqueCount="2565">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</sst>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10" xfId="0" applyFont="1" applyBorder="1" applyAlignment="1" applyProtection="1">
      <alignment horizontal="left"/>
      <protection locked="0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+Spielzettel2!T2</f>
        <v>2</v>
      </c>
      <c r="F6" s="331"/>
      <c r="P6" s="140" t="s">
        <v>1838</v>
      </c>
      <c r="Q6" s="332" t="str">
        <f>+Spielzettel2!U1</f>
        <v>02.11./03.11.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+Spielzettel2!F2</f>
        <v>Regensburg Super Bowl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+Spielzettel2!F1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 t="s">
        <v>2556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6" t="s">
        <v>2562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2560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 t="s">
        <v>2561</v>
      </c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19" t="s">
        <v>2558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4" t="s">
        <v>2559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4" t="s">
        <v>2557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Schlüssel!$AG$1</f>
        <v>02.11./03.11.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Schlüssel!$W$2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VLOOKUP(B2,Schlüssel!$A$5:$DZ$14,23)</f>
        <v>8</v>
      </c>
      <c r="E22" s="353"/>
      <c r="F22" s="353">
        <f>VLOOKUP(B2,Schlüssel!$A$5:$DZ$14,24)</f>
        <v>2</v>
      </c>
      <c r="G22" s="353"/>
      <c r="H22" s="353">
        <f>VLOOKUP(B2,Schlüssel!$A$5:$DZ$14,25)</f>
        <v>4</v>
      </c>
      <c r="I22" s="353"/>
      <c r="J22" s="353">
        <f>VLOOKUP(B2,Schlüssel!$A$5:$DZ$14,26)</f>
        <v>7</v>
      </c>
      <c r="K22" s="353"/>
      <c r="L22" s="353">
        <f>VLOOKUP(B2,Schlüssel!$A$5:$DZ$14,27)</f>
        <v>10</v>
      </c>
      <c r="M22" s="353"/>
      <c r="N22" s="353">
        <f>VLOOKUP(B2,Schlüssel!$A$5:$DZ$14,28)</f>
        <v>5</v>
      </c>
      <c r="O22" s="353"/>
      <c r="P22" s="353">
        <f>VLOOKUP(B2,Schlüssel!$A$5:$DZ$14,29)</f>
        <v>6</v>
      </c>
      <c r="Q22" s="353"/>
      <c r="R22" s="353">
        <f>VLOOKUP(B2,Schlüssel!$A$5:$DZ$14,30)</f>
        <v>9</v>
      </c>
      <c r="S22" s="353"/>
      <c r="T22" s="353">
        <f>VLOOKUP(B2,Schlüssel!$A$5:$DZ$14,31)</f>
        <v>3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EPA München 1</v>
      </c>
      <c r="E23" s="356"/>
      <c r="F23" s="355" t="str">
        <f>VLOOKUP(F22,Schlüssel!$A$5:$K$14,2)</f>
        <v>BK München 2</v>
      </c>
      <c r="G23" s="356"/>
      <c r="H23" s="355" t="str">
        <f>VLOOKUP(H22,Schlüssel!$A$5:$K$14,2)</f>
        <v>BK München 3</v>
      </c>
      <c r="I23" s="356"/>
      <c r="J23" s="355" t="str">
        <f>VLOOKUP(J22,Schlüssel!$A$5:$K$14,2)</f>
        <v>Frankenpower Nürnberg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 xml:space="preserve">Weiß Blau Unterföhring </v>
      </c>
      <c r="O23" s="356"/>
      <c r="P23" s="355" t="str">
        <f>VLOOKUP(P22,Schlüssel!$A$5:$K$14,2)</f>
        <v>Phönix 03 Lauf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Highroller Rosenheim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Schlüssel!$AG$1</f>
        <v>02.11./03.11.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Schlüssel!$W$2</f>
        <v>Regensburg Super Bowl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VLOOKUP(B31,Schlüssel!$A$5:$DZ$14,23)</f>
        <v>9</v>
      </c>
      <c r="E51" s="353"/>
      <c r="F51" s="353">
        <f>VLOOKUP(B31,Schlüssel!$A$5:$DZ$14,24)</f>
        <v>1</v>
      </c>
      <c r="G51" s="353"/>
      <c r="H51" s="353">
        <f>VLOOKUP(B31,Schlüssel!$A$5:$DZ$14,25)</f>
        <v>10</v>
      </c>
      <c r="I51" s="353"/>
      <c r="J51" s="353">
        <f>VLOOKUP(B31,Schlüssel!$A$5:$DZ$14,26)</f>
        <v>5</v>
      </c>
      <c r="K51" s="353"/>
      <c r="L51" s="353">
        <f>VLOOKUP(B31,Schlüssel!$A$5:$DZ$14,27)</f>
        <v>3</v>
      </c>
      <c r="M51" s="353"/>
      <c r="N51" s="353">
        <f>VLOOKUP(B31,Schlüssel!$A$5:$DZ$14,28)</f>
        <v>7</v>
      </c>
      <c r="O51" s="353"/>
      <c r="P51" s="353">
        <f>VLOOKUP(B31,Schlüssel!$A$5:$DZ$14,29)</f>
        <v>8</v>
      </c>
      <c r="Q51" s="353"/>
      <c r="R51" s="353">
        <f>VLOOKUP(B31,Schlüssel!$A$5:$DZ$14,30)</f>
        <v>4</v>
      </c>
      <c r="S51" s="353"/>
      <c r="T51" s="353">
        <f>VLOOKUP(B31,Schlüssel!$A$5:$DZ$14,31)</f>
        <v>6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RW Lichtenhof 69 Stein 2</v>
      </c>
      <c r="E52" s="356"/>
      <c r="F52" s="355" t="str">
        <f>VLOOKUP(F51,Schlüssel!$A$5:$K$14,2)</f>
        <v>Praetoria Regensburg</v>
      </c>
      <c r="G52" s="356"/>
      <c r="H52" s="355" t="str">
        <f>VLOOKUP(H51,Schlüssel!$A$5:$K$14,2)</f>
        <v>BK München 4</v>
      </c>
      <c r="I52" s="356"/>
      <c r="J52" s="355" t="str">
        <f>VLOOKUP(J51,Schlüssel!$A$5:$K$14,2)</f>
        <v xml:space="preserve">Weiß Blau Unterföhring 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>Phönix 03 Lauf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Schlüssel!$AG$1</f>
        <v>02.11./03.11.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Schlüssel!$W$2</f>
        <v>Regensburg Super Bowl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VLOOKUP(B60,Schlüssel!$A$5:$DZ$14,23)</f>
        <v>7</v>
      </c>
      <c r="E80" s="353"/>
      <c r="F80" s="353">
        <f>VLOOKUP(B60,Schlüssel!$A$5:$DZ$14,24)</f>
        <v>4</v>
      </c>
      <c r="G80" s="353"/>
      <c r="H80" s="353">
        <f>VLOOKUP(B60,Schlüssel!$A$5:$DZ$14,25)</f>
        <v>8</v>
      </c>
      <c r="I80" s="353"/>
      <c r="J80" s="353">
        <f>VLOOKUP(B60,Schlüssel!$A$5:$DZ$14,26)</f>
        <v>6</v>
      </c>
      <c r="K80" s="353"/>
      <c r="L80" s="353">
        <f>VLOOKUP(B60,Schlüssel!$A$5:$DZ$14,27)</f>
        <v>2</v>
      </c>
      <c r="M80" s="353"/>
      <c r="N80" s="353">
        <f>VLOOKUP(B60,Schlüssel!$A$5:$DZ$14,28)</f>
        <v>9</v>
      </c>
      <c r="O80" s="353"/>
      <c r="P80" s="353">
        <f>VLOOKUP(B60,Schlüssel!$A$5:$DZ$14,29)</f>
        <v>5</v>
      </c>
      <c r="Q80" s="353"/>
      <c r="R80" s="353">
        <f>VLOOKUP(B60,Schlüssel!$A$5:$DZ$14,30)</f>
        <v>10</v>
      </c>
      <c r="S80" s="353"/>
      <c r="T80" s="353">
        <f>VLOOKUP(B60,Schlüssel!$A$5:$DZ$14,31)</f>
        <v>1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Frankenpower Nürnberg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>EPA München 1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RW Lichtenhof 69 Stein 2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4</v>
      </c>
      <c r="S81" s="356"/>
      <c r="T81" s="355" t="str">
        <f>VLOOKUP(T80,Schlüssel!$A$5:$K$14,2)</f>
        <v>Praetoria Regensburg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Schlüssel!$AG$1</f>
        <v>02.11./03.11.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Schlüssel!$W$2</f>
        <v>Regensburg Super Bowl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VLOOKUP(B89,Schlüssel!$A$5:$DZ$14,23)</f>
        <v>5</v>
      </c>
      <c r="E109" s="353"/>
      <c r="F109" s="353">
        <f>VLOOKUP(B89,Schlüssel!$A$5:$DZ$14,24)</f>
        <v>3</v>
      </c>
      <c r="G109" s="353"/>
      <c r="H109" s="353">
        <f>VLOOKUP(B89,Schlüssel!$A$5:$DZ$14,25)</f>
        <v>1</v>
      </c>
      <c r="I109" s="353"/>
      <c r="J109" s="353">
        <f>VLOOKUP(B89,Schlüssel!$A$5:$DZ$14,26)</f>
        <v>8</v>
      </c>
      <c r="K109" s="353"/>
      <c r="L109" s="353">
        <f>VLOOKUP(B89,Schlüssel!$A$5:$DZ$14,27)</f>
        <v>6</v>
      </c>
      <c r="M109" s="353"/>
      <c r="N109" s="353">
        <f>VLOOKUP(B89,Schlüssel!$A$5:$DZ$14,28)</f>
        <v>10</v>
      </c>
      <c r="O109" s="353"/>
      <c r="P109" s="353">
        <f>VLOOKUP(B89,Schlüssel!$A$5:$DZ$14,29)</f>
        <v>9</v>
      </c>
      <c r="Q109" s="353"/>
      <c r="R109" s="353">
        <f>VLOOKUP(B89,Schlüssel!$A$5:$DZ$14,30)</f>
        <v>2</v>
      </c>
      <c r="S109" s="353"/>
      <c r="T109" s="353">
        <f>VLOOKUP(B89,Schlüssel!$A$5:$DZ$14,31)</f>
        <v>7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 xml:space="preserve">Weiß Blau Unterföhring 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Praetoria Regensburg</v>
      </c>
      <c r="I110" s="356"/>
      <c r="J110" s="355" t="str">
        <f>VLOOKUP(J109,Schlüssel!$A$5:$K$14,2)</f>
        <v>EPA München 1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Frankenpower Nürnberg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Schlüssel!$AG$1</f>
        <v>02.11./03.11.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Schlüssel!$W$2</f>
        <v>Regensburg Super Bowl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VLOOKUP(B118,Schlüssel!$A$5:$DZ$14,23)</f>
        <v>4</v>
      </c>
      <c r="E138" s="353"/>
      <c r="F138" s="353">
        <f>VLOOKUP(B118,Schlüssel!$A$5:$DZ$14,24)</f>
        <v>10</v>
      </c>
      <c r="G138" s="353"/>
      <c r="H138" s="353">
        <f>VLOOKUP(B118,Schlüssel!$A$5:$DZ$14,25)</f>
        <v>6</v>
      </c>
      <c r="I138" s="353"/>
      <c r="J138" s="353">
        <f>VLOOKUP(B118,Schlüssel!$A$5:$DZ$14,26)</f>
        <v>2</v>
      </c>
      <c r="K138" s="353"/>
      <c r="L138" s="353">
        <f>VLOOKUP(B118,Schlüssel!$A$5:$DZ$14,27)</f>
        <v>7</v>
      </c>
      <c r="M138" s="353"/>
      <c r="N138" s="353">
        <f>VLOOKUP(B118,Schlüssel!$A$5:$DZ$14,28)</f>
        <v>1</v>
      </c>
      <c r="O138" s="353"/>
      <c r="P138" s="353">
        <f>VLOOKUP(B118,Schlüssel!$A$5:$DZ$14,29)</f>
        <v>3</v>
      </c>
      <c r="Q138" s="353"/>
      <c r="R138" s="353">
        <f>VLOOKUP(B118,Schlüssel!$A$5:$DZ$14,30)</f>
        <v>8</v>
      </c>
      <c r="S138" s="353"/>
      <c r="T138" s="353">
        <f>VLOOKUP(B118,Schlüssel!$A$5:$DZ$14,31)</f>
        <v>9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3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BK München 2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Praetoria Regensburg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EPA München 1</v>
      </c>
      <c r="S139" s="356"/>
      <c r="T139" s="355" t="str">
        <f>VLOOKUP(T138,Schlüssel!$A$5:$K$14,2)</f>
        <v>RW Lichtenhof 69 Stein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Schlüssel!$AG$1</f>
        <v>02.11./03.11.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Schlüssel!$W$2</f>
        <v>Regensburg Super Bowl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VLOOKUP(B147,Schlüssel!$A$5:$DZ$14,23)</f>
        <v>10</v>
      </c>
      <c r="E167" s="353"/>
      <c r="F167" s="353">
        <f>VLOOKUP(B147,Schlüssel!$A$5:$DZ$14,24)</f>
        <v>9</v>
      </c>
      <c r="G167" s="353"/>
      <c r="H167" s="353">
        <f>VLOOKUP(B147,Schlüssel!$A$5:$DZ$14,25)</f>
        <v>5</v>
      </c>
      <c r="I167" s="353"/>
      <c r="J167" s="353">
        <f>VLOOKUP(B147,Schlüssel!$A$5:$DZ$14,26)</f>
        <v>3</v>
      </c>
      <c r="K167" s="353"/>
      <c r="L167" s="353">
        <f>VLOOKUP(B147,Schlüssel!$A$5:$DZ$14,27)</f>
        <v>4</v>
      </c>
      <c r="M167" s="353"/>
      <c r="N167" s="353">
        <f>VLOOKUP(B147,Schlüssel!$A$5:$DZ$14,28)</f>
        <v>8</v>
      </c>
      <c r="O167" s="353"/>
      <c r="P167" s="353">
        <f>VLOOKUP(B147,Schlüssel!$A$5:$DZ$14,29)</f>
        <v>1</v>
      </c>
      <c r="Q167" s="353"/>
      <c r="R167" s="353">
        <f>VLOOKUP(B147,Schlüssel!$A$5:$DZ$14,30)</f>
        <v>7</v>
      </c>
      <c r="S167" s="353"/>
      <c r="T167" s="353">
        <f>VLOOKUP(B147,Schlüssel!$A$5:$DZ$14,31)</f>
        <v>2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4</v>
      </c>
      <c r="E168" s="356"/>
      <c r="F168" s="355" t="str">
        <f>VLOOKUP(F167,Schlüssel!$A$5:$K$14,2)</f>
        <v>RW Lichtenhof 69 Stein 2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Praetoria Regensburg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Schlüssel!$AG$1</f>
        <v>02.11./03.11.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Schlüssel!$W$2</f>
        <v>Regensburg Super Bowl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VLOOKUP(B176,Schlüssel!$A$5:$DZ$14,23)</f>
        <v>3</v>
      </c>
      <c r="E196" s="353"/>
      <c r="F196" s="353">
        <f>VLOOKUP(B176,Schlüssel!$A$5:$DZ$14,24)</f>
        <v>8</v>
      </c>
      <c r="G196" s="353"/>
      <c r="H196" s="353">
        <f>VLOOKUP(B176,Schlüssel!$A$5:$DZ$14,25)</f>
        <v>9</v>
      </c>
      <c r="I196" s="353"/>
      <c r="J196" s="353">
        <f>VLOOKUP(B176,Schlüssel!$A$5:$DZ$14,26)</f>
        <v>1</v>
      </c>
      <c r="K196" s="353"/>
      <c r="L196" s="353">
        <f>VLOOKUP(B176,Schlüssel!$A$5:$DZ$14,27)</f>
        <v>5</v>
      </c>
      <c r="M196" s="353"/>
      <c r="N196" s="353">
        <f>VLOOKUP(B176,Schlüssel!$A$5:$DZ$14,28)</f>
        <v>2</v>
      </c>
      <c r="O196" s="353"/>
      <c r="P196" s="353">
        <f>VLOOKUP(B176,Schlüssel!$A$5:$DZ$14,29)</f>
        <v>10</v>
      </c>
      <c r="Q196" s="353"/>
      <c r="R196" s="353">
        <f>VLOOKUP(B176,Schlüssel!$A$5:$DZ$14,30)</f>
        <v>6</v>
      </c>
      <c r="S196" s="353"/>
      <c r="T196" s="353">
        <f>VLOOKUP(B176,Schlüssel!$A$5:$DZ$14,31)</f>
        <v>4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Highroller Rosenheim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Praetoria Regensburg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BK München 3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Schlüssel!$AG$1</f>
        <v>02.11./03.11.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Schlüssel!$W$2</f>
        <v>Regensburg Super Bowl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VLOOKUP(B205,Schlüssel!$A$5:$DZ$14,23)</f>
        <v>1</v>
      </c>
      <c r="E225" s="353"/>
      <c r="F225" s="353">
        <f>VLOOKUP(B205,Schlüssel!$A$5:$DZ$14,24)</f>
        <v>7</v>
      </c>
      <c r="G225" s="353"/>
      <c r="H225" s="353">
        <f>VLOOKUP(B205,Schlüssel!$A$5:$DZ$14,25)</f>
        <v>3</v>
      </c>
      <c r="I225" s="353"/>
      <c r="J225" s="353">
        <f>VLOOKUP(B205,Schlüssel!$A$5:$DZ$14,26)</f>
        <v>4</v>
      </c>
      <c r="K225" s="353"/>
      <c r="L225" s="353">
        <f>VLOOKUP(B205,Schlüssel!$A$5:$DZ$14,27)</f>
        <v>9</v>
      </c>
      <c r="M225" s="353"/>
      <c r="N225" s="353">
        <f>VLOOKUP(B205,Schlüssel!$A$5:$DZ$14,28)</f>
        <v>6</v>
      </c>
      <c r="O225" s="353"/>
      <c r="P225" s="353">
        <f>VLOOKUP(B205,Schlüssel!$A$5:$DZ$14,29)</f>
        <v>2</v>
      </c>
      <c r="Q225" s="353"/>
      <c r="R225" s="353">
        <f>VLOOKUP(B205,Schlüssel!$A$5:$DZ$14,30)</f>
        <v>5</v>
      </c>
      <c r="S225" s="353"/>
      <c r="T225" s="353">
        <f>VLOOKUP(B205,Schlüssel!$A$5:$DZ$14,31)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Praetoria Regensburg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Highroller Rosenheim</v>
      </c>
      <c r="I226" s="356"/>
      <c r="J226" s="355" t="str">
        <f>VLOOKUP(J225,Schlüssel!$A$5:$K$14,2)</f>
        <v>BK München 3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 xml:space="preserve">Weiß Blau Unterföhring 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Schlüssel!$AG$1</f>
        <v>02.11./03.11.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Schlüssel!$W$2</f>
        <v>Regensburg Super Bowl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VLOOKUP(B234,Schlüssel!$A$5:$DZ$14,23)</f>
        <v>2</v>
      </c>
      <c r="E254" s="353"/>
      <c r="F254" s="353">
        <f>VLOOKUP(B234,Schlüssel!$A$5:$DZ$14,24)</f>
        <v>6</v>
      </c>
      <c r="G254" s="353"/>
      <c r="H254" s="353">
        <f>VLOOKUP(B234,Schlüssel!$A$5:$DZ$14,25)</f>
        <v>7</v>
      </c>
      <c r="I254" s="353"/>
      <c r="J254" s="353">
        <f>VLOOKUP(B234,Schlüssel!$A$5:$DZ$14,26)</f>
        <v>10</v>
      </c>
      <c r="K254" s="353"/>
      <c r="L254" s="353">
        <f>VLOOKUP(B234,Schlüssel!$A$5:$DZ$14,27)</f>
        <v>8</v>
      </c>
      <c r="M254" s="353"/>
      <c r="N254" s="353">
        <f>VLOOKUP(B234,Schlüssel!$A$5:$DZ$14,28)</f>
        <v>3</v>
      </c>
      <c r="O254" s="353"/>
      <c r="P254" s="353">
        <f>VLOOKUP(B234,Schlüssel!$A$5:$DZ$14,29)</f>
        <v>4</v>
      </c>
      <c r="Q254" s="353"/>
      <c r="R254" s="353">
        <f>VLOOKUP(B234,Schlüssel!$A$5:$DZ$14,30)</f>
        <v>1</v>
      </c>
      <c r="S254" s="353"/>
      <c r="T254" s="353">
        <f>VLOOKUP(B234,Schlüssel!$A$5:$DZ$14,31)</f>
        <v>5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2</v>
      </c>
      <c r="E255" s="356"/>
      <c r="F255" s="355" t="str">
        <f>VLOOKUP(F254,Schlüssel!$A$5:$K$14,2)</f>
        <v>Phönix 03 Lauf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Highroller Rosenheim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 xml:space="preserve">Weiß Blau Unterföhring 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Schlüssel!$AG$1</f>
        <v>02.11./03.11.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Schlüssel!$W$2</f>
        <v>Regensburg Super Bowl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VLOOKUP(B263,Schlüssel!$A$5:$DZ$14,23)</f>
        <v>6</v>
      </c>
      <c r="E283" s="353"/>
      <c r="F283" s="353">
        <f>VLOOKUP(B263,Schlüssel!$A$5:$DZ$14,24)</f>
        <v>5</v>
      </c>
      <c r="G283" s="353"/>
      <c r="H283" s="353">
        <f>VLOOKUP(B263,Schlüssel!$A$5:$DZ$14,25)</f>
        <v>2</v>
      </c>
      <c r="I283" s="353"/>
      <c r="J283" s="353">
        <f>VLOOKUP(B263,Schlüssel!$A$5:$DZ$14,26)</f>
        <v>9</v>
      </c>
      <c r="K283" s="353"/>
      <c r="L283" s="353">
        <f>VLOOKUP(B263,Schlüssel!$A$5:$DZ$14,27)</f>
        <v>1</v>
      </c>
      <c r="M283" s="353"/>
      <c r="N283" s="353">
        <f>VLOOKUP(B263,Schlüssel!$A$5:$DZ$14,28)</f>
        <v>4</v>
      </c>
      <c r="O283" s="353"/>
      <c r="P283" s="353">
        <f>VLOOKUP(B263,Schlüssel!$A$5:$DZ$14,29)</f>
        <v>7</v>
      </c>
      <c r="Q283" s="353"/>
      <c r="R283" s="353">
        <f>VLOOKUP(B263,Schlüssel!$A$5:$DZ$14,30)</f>
        <v>3</v>
      </c>
      <c r="S283" s="353"/>
      <c r="T283" s="353">
        <f>VLOOKUP(B263,Schlüssel!$A$5:$DZ$14,31)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Phönix 03 Lauf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BK München 2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Highroller Rosenheim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02.11./03.11.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02.11./03.11.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5">
        <f>IF(AD7="","",AD7)</f>
        <v>1</v>
      </c>
      <c r="F7" s="75">
        <f t="shared" ref="F7:F20" si="0">IF(AE7=0,"",AE7)</f>
        <v>174</v>
      </c>
      <c r="G7" s="345">
        <f>IF(AF7="","",AF7)</f>
        <v>1</v>
      </c>
      <c r="H7" s="75">
        <f t="shared" ref="H7:H20" si="1">IF(AG7=0,"",AG7)</f>
        <v>176</v>
      </c>
      <c r="I7" s="345">
        <f>IF(AH7="","",AH7)</f>
        <v>1</v>
      </c>
      <c r="J7" s="75">
        <f t="shared" ref="J7:J20" si="2">IF(AI7=0,"",AI7)</f>
        <v>137</v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0.5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1</v>
      </c>
      <c r="R7" s="75" t="str">
        <f t="shared" ref="R7:R20" si="5">IF(AQ7=0,"",AQ7)</f>
        <v/>
      </c>
      <c r="S7" s="345">
        <f>IF(AR7="","",AR7)</f>
        <v>1</v>
      </c>
      <c r="T7" s="75" t="str">
        <f t="shared" ref="T7:T20" si="6">IF(AS7=0,"",AS7)</f>
        <v/>
      </c>
      <c r="U7" s="345">
        <f>IF(AT7="","",AT7)</f>
        <v>0</v>
      </c>
      <c r="V7" s="75">
        <f t="shared" ref="V7:V20" si="7">IF(AU7=0,"",AU7)</f>
        <v>656</v>
      </c>
      <c r="W7" s="345">
        <f>IF(AV7="","",AV7)</f>
        <v>5.5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4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>
        <f t="shared" si="3"/>
        <v>157</v>
      </c>
      <c r="M8" s="346"/>
      <c r="N8" s="78">
        <f t="shared" ref="N8:N20" si="20">IF(AM8=0,"",AM8)</f>
        <v>169</v>
      </c>
      <c r="O8" s="346"/>
      <c r="P8" s="78">
        <f t="shared" si="4"/>
        <v>192</v>
      </c>
      <c r="Q8" s="346"/>
      <c r="R8" s="78">
        <f t="shared" si="5"/>
        <v>194</v>
      </c>
      <c r="S8" s="346"/>
      <c r="T8" s="78">
        <f t="shared" si="6"/>
        <v>143</v>
      </c>
      <c r="U8" s="346"/>
      <c r="V8" s="78">
        <f t="shared" si="7"/>
        <v>855</v>
      </c>
      <c r="W8" s="346"/>
      <c r="Z8" s="349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5">
        <f>IF(AD10="","",AD10)</f>
        <v>1</v>
      </c>
      <c r="F10" s="75">
        <f t="shared" si="0"/>
        <v>228</v>
      </c>
      <c r="G10" s="345">
        <f>IF(AF10="","",AF10)</f>
        <v>1</v>
      </c>
      <c r="H10" s="75">
        <f t="shared" si="1"/>
        <v>189</v>
      </c>
      <c r="I10" s="345">
        <f>IF(AH10="","",AH10)</f>
        <v>0</v>
      </c>
      <c r="J10" s="75">
        <f t="shared" si="2"/>
        <v>194</v>
      </c>
      <c r="K10" s="345">
        <f>IF(AJ10="","",AJ10)</f>
        <v>0</v>
      </c>
      <c r="L10" s="75">
        <f t="shared" si="3"/>
        <v>169</v>
      </c>
      <c r="M10" s="345">
        <f>IF(AL10="","",AL10)</f>
        <v>0</v>
      </c>
      <c r="N10" s="75">
        <f t="shared" si="20"/>
        <v>193</v>
      </c>
      <c r="O10" s="345">
        <f>IF(AN10="","",AN10)</f>
        <v>1</v>
      </c>
      <c r="P10" s="75">
        <f t="shared" si="4"/>
        <v>191</v>
      </c>
      <c r="Q10" s="345">
        <f>IF(AP10="","",AP10)</f>
        <v>1</v>
      </c>
      <c r="R10" s="75">
        <f t="shared" si="5"/>
        <v>180</v>
      </c>
      <c r="S10" s="345">
        <f>IF(AR10="","",AR10)</f>
        <v>1</v>
      </c>
      <c r="T10" s="75">
        <f t="shared" si="6"/>
        <v>137</v>
      </c>
      <c r="U10" s="345">
        <f>IF(AT10="","",AT10)</f>
        <v>0</v>
      </c>
      <c r="V10" s="75">
        <f t="shared" si="7"/>
        <v>1645</v>
      </c>
      <c r="W10" s="345">
        <f>IF(AV10="","",AV10)</f>
        <v>5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0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5">
        <f>IF(AD13="","",AD13)</f>
        <v>1</v>
      </c>
      <c r="F13" s="75">
        <f t="shared" si="0"/>
        <v>172</v>
      </c>
      <c r="G13" s="345">
        <f>IF(AF13="","",AF13)</f>
        <v>1</v>
      </c>
      <c r="H13" s="75">
        <f t="shared" si="1"/>
        <v>183</v>
      </c>
      <c r="I13" s="345">
        <f>IF(AH13="","",AH13)</f>
        <v>1</v>
      </c>
      <c r="J13" s="75">
        <f t="shared" si="2"/>
        <v>158</v>
      </c>
      <c r="K13" s="345">
        <f>IF(AJ13="","",AJ13)</f>
        <v>1</v>
      </c>
      <c r="L13" s="75">
        <f t="shared" si="3"/>
        <v>162</v>
      </c>
      <c r="M13" s="345">
        <f>IF(AL13="","",AL13)</f>
        <v>1</v>
      </c>
      <c r="N13" s="75">
        <f t="shared" si="20"/>
        <v>181</v>
      </c>
      <c r="O13" s="345">
        <f>IF(AN13="","",AN13)</f>
        <v>0.5</v>
      </c>
      <c r="P13" s="75">
        <f t="shared" si="4"/>
        <v>149</v>
      </c>
      <c r="Q13" s="345">
        <f>IF(AP13="","",AP13)</f>
        <v>0</v>
      </c>
      <c r="R13" s="75" t="str">
        <f t="shared" si="5"/>
        <v/>
      </c>
      <c r="S13" s="345">
        <f>IF(AR13="","",AR13)</f>
        <v>1</v>
      </c>
      <c r="T13" s="75" t="str">
        <f t="shared" si="6"/>
        <v/>
      </c>
      <c r="U13" s="345">
        <f>IF(AT13="","",AT13)</f>
        <v>1</v>
      </c>
      <c r="V13" s="75">
        <f t="shared" si="7"/>
        <v>1181</v>
      </c>
      <c r="W13" s="345">
        <f>IF(AV13="","",AV13)</f>
        <v>7.5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4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>
        <f t="shared" si="5"/>
        <v>207</v>
      </c>
      <c r="S14" s="346"/>
      <c r="T14" s="78">
        <f t="shared" si="6"/>
        <v>224</v>
      </c>
      <c r="U14" s="346"/>
      <c r="V14" s="78">
        <f t="shared" si="7"/>
        <v>431</v>
      </c>
      <c r="W14" s="346"/>
      <c r="Z14" s="349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5">
        <f>IF(AD16="","",AD16)</f>
        <v>1</v>
      </c>
      <c r="F16" s="75">
        <f t="shared" si="0"/>
        <v>184</v>
      </c>
      <c r="G16" s="345">
        <f>IF(AF16="","",AF16)</f>
        <v>1</v>
      </c>
      <c r="H16" s="75">
        <f t="shared" si="1"/>
        <v>205</v>
      </c>
      <c r="I16" s="345">
        <f>IF(AH16="","",AH16)</f>
        <v>1</v>
      </c>
      <c r="J16" s="75">
        <f t="shared" si="2"/>
        <v>213</v>
      </c>
      <c r="K16" s="345">
        <f>IF(AJ16="","",AJ16)</f>
        <v>1</v>
      </c>
      <c r="L16" s="75">
        <f t="shared" si="3"/>
        <v>148</v>
      </c>
      <c r="M16" s="345">
        <f>IF(AL16="","",AL16)</f>
        <v>0</v>
      </c>
      <c r="N16" s="75">
        <f t="shared" si="20"/>
        <v>185</v>
      </c>
      <c r="O16" s="345">
        <f>IF(AN16="","",AN16)</f>
        <v>1</v>
      </c>
      <c r="P16" s="75">
        <f t="shared" si="4"/>
        <v>150</v>
      </c>
      <c r="Q16" s="345">
        <f>IF(AP16="","",AP16)</f>
        <v>0</v>
      </c>
      <c r="R16" s="75">
        <f t="shared" si="5"/>
        <v>135</v>
      </c>
      <c r="S16" s="345">
        <f>IF(AR16="","",AR16)</f>
        <v>0</v>
      </c>
      <c r="T16" s="75">
        <f t="shared" si="6"/>
        <v>184</v>
      </c>
      <c r="U16" s="345">
        <f>IF(AT16="","",AT16)</f>
        <v>0</v>
      </c>
      <c r="V16" s="75">
        <f t="shared" si="7"/>
        <v>1583</v>
      </c>
      <c r="W16" s="345">
        <f>IF(AV16="","",AV16)</f>
        <v>5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33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5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33</v>
      </c>
      <c r="AW20" s="101"/>
      <c r="AX20" s="102"/>
      <c r="BA20" s="212">
        <f>+AV20</f>
        <v>33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33.006351000000002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8</v>
      </c>
      <c r="E22" s="353" t="str">
        <f t="shared" si="31"/>
        <v/>
      </c>
      <c r="F22" s="353">
        <f t="shared" si="31"/>
        <v>2</v>
      </c>
      <c r="G22" s="353" t="str">
        <f t="shared" si="31"/>
        <v/>
      </c>
      <c r="H22" s="353">
        <f t="shared" si="31"/>
        <v>4</v>
      </c>
      <c r="I22" s="353" t="str">
        <f t="shared" si="31"/>
        <v/>
      </c>
      <c r="J22" s="353">
        <f t="shared" si="31"/>
        <v>7</v>
      </c>
      <c r="K22" s="353" t="str">
        <f t="shared" si="31"/>
        <v/>
      </c>
      <c r="L22" s="353">
        <f t="shared" ref="L22:U24" si="32">IF(AK22=0,"",AK22)</f>
        <v>10</v>
      </c>
      <c r="M22" s="353" t="str">
        <f t="shared" si="32"/>
        <v/>
      </c>
      <c r="N22" s="353">
        <f t="shared" si="32"/>
        <v>5</v>
      </c>
      <c r="O22" s="353" t="str">
        <f t="shared" si="32"/>
        <v/>
      </c>
      <c r="P22" s="353">
        <f t="shared" si="32"/>
        <v>6</v>
      </c>
      <c r="Q22" s="353" t="str">
        <f t="shared" si="32"/>
        <v/>
      </c>
      <c r="R22" s="353">
        <f t="shared" si="32"/>
        <v>9</v>
      </c>
      <c r="S22" s="353" t="str">
        <f t="shared" si="32"/>
        <v/>
      </c>
      <c r="T22" s="353">
        <f t="shared" si="32"/>
        <v>3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VLOOKUP($AA2,Schlüssel!$A$5:$DG$14,23)</f>
        <v>8</v>
      </c>
      <c r="AD22" s="368"/>
      <c r="AE22" s="367">
        <f>VLOOKUP($AA2,Schlüssel!$A$5:$EK$14,24)</f>
        <v>2</v>
      </c>
      <c r="AF22" s="368"/>
      <c r="AG22" s="367">
        <f>VLOOKUP($AA2,Schlüssel!$A$5:$EK$14,25)</f>
        <v>4</v>
      </c>
      <c r="AH22" s="368"/>
      <c r="AI22" s="367">
        <f>VLOOKUP($AA2,Schlüssel!$A$5:$EK$14,26)</f>
        <v>7</v>
      </c>
      <c r="AJ22" s="368"/>
      <c r="AK22" s="367">
        <f>VLOOKUP($AA2,Schlüssel!$A$5:$EK$14,27)</f>
        <v>10</v>
      </c>
      <c r="AL22" s="368"/>
      <c r="AM22" s="367">
        <f>VLOOKUP($AA2,Schlüssel!$A$5:$EK$14,28)</f>
        <v>5</v>
      </c>
      <c r="AN22" s="368"/>
      <c r="AO22" s="367">
        <f>VLOOKUP($AA2,Schlüssel!$A$5:$EK$14,29)</f>
        <v>6</v>
      </c>
      <c r="AP22" s="368"/>
      <c r="AQ22" s="367">
        <f>VLOOKUP($AA2,Schlüssel!$A$5:$EK$14,30)</f>
        <v>9</v>
      </c>
      <c r="AR22" s="368"/>
      <c r="AS22" s="367">
        <f>VLOOKUP($AA2,Schlüssel!$A$5:$EK$14,31)</f>
        <v>3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EPA München 1</v>
      </c>
      <c r="E23" s="356" t="str">
        <f t="shared" si="31"/>
        <v/>
      </c>
      <c r="F23" s="355" t="str">
        <f t="shared" si="31"/>
        <v>BK München 2</v>
      </c>
      <c r="G23" s="356" t="str">
        <f t="shared" si="31"/>
        <v/>
      </c>
      <c r="H23" s="355" t="str">
        <f t="shared" si="31"/>
        <v>BK München 3</v>
      </c>
      <c r="I23" s="356" t="str">
        <f t="shared" si="31"/>
        <v/>
      </c>
      <c r="J23" s="355" t="str">
        <f t="shared" si="31"/>
        <v>Frankenpower Nürnberg</v>
      </c>
      <c r="K23" s="356" t="str">
        <f t="shared" si="31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 xml:space="preserve">Weiß Blau Unterföhring </v>
      </c>
      <c r="O23" s="356" t="str">
        <f t="shared" si="32"/>
        <v/>
      </c>
      <c r="P23" s="355" t="str">
        <f t="shared" si="32"/>
        <v>Phönix 03 Lauf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Highroller Rosenheim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EPA München 1</v>
      </c>
      <c r="AD23" s="356"/>
      <c r="AE23" s="355" t="str">
        <f>VLOOKUP(AE22,Schlüssel!$A$5:$K$14,2)</f>
        <v>BK München 2</v>
      </c>
      <c r="AF23" s="356"/>
      <c r="AG23" s="355" t="str">
        <f>VLOOKUP(AG22,Schlüssel!$A$5:$K$14,2)</f>
        <v>BK München 3</v>
      </c>
      <c r="AH23" s="356"/>
      <c r="AI23" s="355" t="str">
        <f>VLOOKUP(AI22,Schlüssel!$A$5:$K$14,2)</f>
        <v>Frankenpower Nürnberg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 xml:space="preserve">Weiß Blau Unterföhring </v>
      </c>
      <c r="AN23" s="356"/>
      <c r="AO23" s="355" t="str">
        <f>VLOOKUP(AO22,Schlüssel!$A$5:$K$14,2)</f>
        <v>Phönix 03 Lauf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Highroller Rosenheim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140</v>
      </c>
      <c r="E25" s="359" t="str">
        <f>IF(AD25=0,"",AD25)</f>
        <v/>
      </c>
      <c r="F25" s="359">
        <f>IF(AE25=301,"",AE25)</f>
        <v>161</v>
      </c>
      <c r="G25" s="359" t="str">
        <f>IF(AF25=0,"",AF25)</f>
        <v/>
      </c>
      <c r="H25" s="359">
        <f>IF(AG25=301,"",AG25)</f>
        <v>160</v>
      </c>
      <c r="I25" s="359" t="str">
        <f>IF(AH25=0,"",AH25)</f>
        <v/>
      </c>
      <c r="J25" s="359">
        <f>IF(AI25=301,"",AI25)</f>
        <v>176</v>
      </c>
      <c r="K25" s="359" t="str">
        <f>IF(AJ25=0,"",AJ25)</f>
        <v/>
      </c>
      <c r="L25" s="359">
        <f>IF(AK25=301,"",AK25)</f>
        <v>157</v>
      </c>
      <c r="M25" s="359" t="str">
        <f>IF(AL25=0,"",AL25)</f>
        <v/>
      </c>
      <c r="N25" s="359">
        <f>IF(AM25=301,"",AM25)</f>
        <v>170</v>
      </c>
      <c r="O25" s="359" t="str">
        <f>IF(AN25=0,"",AN25)</f>
        <v/>
      </c>
      <c r="P25" s="359">
        <f>IF(AO25=301,"",AO25)</f>
        <v>128</v>
      </c>
      <c r="Q25" s="359" t="str">
        <f>IF(AP25=0,"",AP25)</f>
        <v/>
      </c>
      <c r="R25" s="359">
        <f>IF(AQ25=301,"",AQ25)</f>
        <v>161</v>
      </c>
      <c r="S25" s="359" t="str">
        <f>IF(AR25=0,"",AR25)</f>
        <v/>
      </c>
      <c r="T25" s="359">
        <f>IF(AS25=301,"",AS25)</f>
        <v>223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140</v>
      </c>
      <c r="AD25" s="366"/>
      <c r="AE25" s="365">
        <f>ABS(INDEX(AE:AE,MATCH(AE22,$AA:$AA,0)+5)+INDEX(AE:AE,MATCH(AE22,$AA:$AA,0)+6)+INDEX(AE:AE,MATCH(AE22,$AA:$AA,0)+7))</f>
        <v>161</v>
      </c>
      <c r="AF25" s="366"/>
      <c r="AG25" s="365">
        <f>ABS(INDEX(AG:AG,MATCH(AG22,$AA:$AA,0)+5)+INDEX(AG:AG,MATCH(AG22,$AA:$AA,0)+6)+INDEX(AG:AG,MATCH(AG22,$AA:$AA,0)+7))</f>
        <v>160</v>
      </c>
      <c r="AH25" s="366"/>
      <c r="AI25" s="365">
        <f>ABS(INDEX(AI:AI,MATCH(AI22,$AA:$AA,0)+5)+INDEX(AI:AI,MATCH(AI22,$AA:$AA,0)+6)+INDEX(AI:AI,MATCH(AI22,$AA:$AA,0)+7))</f>
        <v>176</v>
      </c>
      <c r="AJ25" s="366"/>
      <c r="AK25" s="365">
        <f>ABS(INDEX(AK:AK,MATCH(AK22,$AA:$AA,0)+5)+INDEX(AK:AK,MATCH(AK22,$AA:$AA,0)+6)+INDEX(AK:AK,MATCH(AK22,$AA:$AA,0)+7))</f>
        <v>157</v>
      </c>
      <c r="AL25" s="366"/>
      <c r="AM25" s="365">
        <f>ABS(INDEX(AM:AM,MATCH(AM22,$AA:$AA,0)+5)+INDEX(AM:AM,MATCH(AM22,$AA:$AA,0)+6)+INDEX(AM:AM,MATCH(AM22,$AA:$AA,0)+7))</f>
        <v>170</v>
      </c>
      <c r="AN25" s="366"/>
      <c r="AO25" s="365">
        <f>ABS(INDEX(AO:AO,MATCH(AO22,$AA:$AA,0)+5)+INDEX(AO:AO,MATCH(AO22,$AA:$AA,0)+6)+INDEX(AO:AO,MATCH(AO22,$AA:$AA,0)+7))</f>
        <v>128</v>
      </c>
      <c r="AP25" s="366"/>
      <c r="AQ25" s="365">
        <f>ABS(INDEX(AQ:AQ,MATCH(AQ22,$AA:$AA,0)+5)+INDEX(AQ:AQ,MATCH(AQ22,$AA:$AA,0)+6)+INDEX(AQ:AQ,MATCH(AQ22,$AA:$AA,0)+7))</f>
        <v>161</v>
      </c>
      <c r="AR25" s="366"/>
      <c r="AS25" s="365">
        <f>ABS(INDEX(AS:AS,MATCH(AS22,$AA:$AA,0)+5)+INDEX(AS:AS,MATCH(AS22,$AA:$AA,0)+6)+INDEX(AS:AS,MATCH(AS22,$AA:$AA,0)+7))</f>
        <v>223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147</v>
      </c>
      <c r="E26" s="359" t="str">
        <f>IF(AD26=0,"",AD26)</f>
        <v/>
      </c>
      <c r="F26" s="359">
        <f>IF(AE26=301,"",AE26)</f>
        <v>164</v>
      </c>
      <c r="G26" s="359" t="str">
        <f>IF(AF26=0,"",AF26)</f>
        <v/>
      </c>
      <c r="H26" s="359">
        <f>IF(AG26=301,"",AG26)</f>
        <v>193</v>
      </c>
      <c r="I26" s="359" t="str">
        <f>IF(AH26=0,"",AH26)</f>
        <v/>
      </c>
      <c r="J26" s="359">
        <f>IF(AI26=301,"",AI26)</f>
        <v>202</v>
      </c>
      <c r="K26" s="359" t="str">
        <f>IF(AJ26=0,"",AJ26)</f>
        <v/>
      </c>
      <c r="L26" s="359">
        <f>IF(AK26=301,"",AK26)</f>
        <v>225</v>
      </c>
      <c r="M26" s="359" t="str">
        <f>IF(AL26=0,"",AL26)</f>
        <v/>
      </c>
      <c r="N26" s="359">
        <f>IF(AM26=301,"",AM26)</f>
        <v>190</v>
      </c>
      <c r="O26" s="359" t="str">
        <f>IF(AN26=0,"",AN26)</f>
        <v/>
      </c>
      <c r="P26" s="359">
        <f>IF(AO26=301,"",AO26)</f>
        <v>160</v>
      </c>
      <c r="Q26" s="359" t="str">
        <f>IF(AP26=0,"",AP26)</f>
        <v/>
      </c>
      <c r="R26" s="359">
        <f>IF(AQ26=301,"",AQ26)</f>
        <v>166</v>
      </c>
      <c r="S26" s="359" t="str">
        <f>IF(AR26=0,"",AR26)</f>
        <v/>
      </c>
      <c r="T26" s="359">
        <f>IF(AS26=301,"",AS26)</f>
        <v>162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147</v>
      </c>
      <c r="AD26" s="364"/>
      <c r="AE26" s="363">
        <f>ABS(INDEX(AE:AE,MATCH(AE22,$AA:$AA,0)+8)+INDEX(AE:AE,MATCH(AE22,$AA:$AA,0)+9)+INDEX(AE:AE,MATCH(AE22,$AA:$AA,0)+10))</f>
        <v>164</v>
      </c>
      <c r="AF26" s="364"/>
      <c r="AG26" s="363">
        <f>ABS(INDEX(AG:AG,MATCH(AG22,$AA:$AA,0)+8)+INDEX(AG:AG,MATCH(AG22,$AA:$AA,0)+9)+INDEX(AG:AG,MATCH(AG22,$AA:$AA,0)+10))</f>
        <v>193</v>
      </c>
      <c r="AH26" s="364"/>
      <c r="AI26" s="363">
        <f>ABS(INDEX(AI:AI,MATCH(AI22,$AA:$AA,0)+8)+INDEX(AI:AI,MATCH(AI22,$AA:$AA,0)+9)+INDEX(AI:AI,MATCH(AI22,$AA:$AA,0)+10))</f>
        <v>202</v>
      </c>
      <c r="AJ26" s="364"/>
      <c r="AK26" s="363">
        <f>ABS(INDEX(AK:AK,MATCH(AK22,$AA:$AA,0)+8)+INDEX(AK:AK,MATCH(AK22,$AA:$AA,0)+9)+INDEX(AK:AK,MATCH(AK22,$AA:$AA,0)+10))</f>
        <v>225</v>
      </c>
      <c r="AL26" s="364"/>
      <c r="AM26" s="363">
        <f>ABS(INDEX(AM:AM,MATCH(AM22,$AA:$AA,0)+8)+INDEX(AM:AM,MATCH(AM22,$AA:$AA,0)+9)+INDEX(AM:AM,MATCH(AM22,$AA:$AA,0)+10))</f>
        <v>190</v>
      </c>
      <c r="AN26" s="364"/>
      <c r="AO26" s="363">
        <f>ABS(INDEX(AO:AO,MATCH(AO22,$AA:$AA,0)+8)+INDEX(AO:AO,MATCH(AO22,$AA:$AA,0)+9)+INDEX(AO:AO,MATCH(AO22,$AA:$AA,0)+10))</f>
        <v>160</v>
      </c>
      <c r="AP26" s="364"/>
      <c r="AQ26" s="363">
        <f>ABS(INDEX(AQ:AQ,MATCH(AQ22,$AA:$AA,0)+8)+INDEX(AQ:AQ,MATCH(AQ22,$AA:$AA,0)+9)+INDEX(AQ:AQ,MATCH(AQ22,$AA:$AA,0)+10))</f>
        <v>166</v>
      </c>
      <c r="AR26" s="364"/>
      <c r="AS26" s="363">
        <f>ABS(INDEX(AS:AS,MATCH(AS22,$AA:$AA,0)+8)+INDEX(AS:AS,MATCH(AS22,$AA:$AA,0)+9)+INDEX(AS:AS,MATCH(AS22,$AA:$AA,0)+10))</f>
        <v>162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166</v>
      </c>
      <c r="E27" s="359" t="str">
        <f>IF(AD27=0,"",AD27)</f>
        <v/>
      </c>
      <c r="F27" s="359">
        <f>IF(AE27=301,"",AE27)</f>
        <v>137</v>
      </c>
      <c r="G27" s="359" t="str">
        <f>IF(AF27=0,"",AF27)</f>
        <v/>
      </c>
      <c r="H27" s="359">
        <f>IF(AG27=301,"",AG27)</f>
        <v>139</v>
      </c>
      <c r="I27" s="359" t="str">
        <f>IF(AH27=0,"",AH27)</f>
        <v/>
      </c>
      <c r="J27" s="359">
        <f>IF(AI27=301,"",AI27)</f>
        <v>153</v>
      </c>
      <c r="K27" s="359" t="str">
        <f>IF(AJ27=0,"",AJ27)</f>
        <v/>
      </c>
      <c r="L27" s="359">
        <f>IF(AK27=301,"",AK27)</f>
        <v>157</v>
      </c>
      <c r="M27" s="359" t="str">
        <f>IF(AL27=0,"",AL27)</f>
        <v/>
      </c>
      <c r="N27" s="359">
        <f>IF(AM27=301,"",AM27)</f>
        <v>181</v>
      </c>
      <c r="O27" s="359" t="str">
        <f>IF(AN27=0,"",AN27)</f>
        <v/>
      </c>
      <c r="P27" s="359">
        <f>IF(AO27=301,"",AO27)</f>
        <v>212</v>
      </c>
      <c r="Q27" s="359" t="str">
        <f>IF(AP27=0,"",AP27)</f>
        <v/>
      </c>
      <c r="R27" s="359">
        <f>IF(AQ27=301,"",AQ27)</f>
        <v>167</v>
      </c>
      <c r="S27" s="359" t="str">
        <f>IF(AR27=0,"",AR27)</f>
        <v/>
      </c>
      <c r="T27" s="359">
        <f>IF(AS27=301,"",AS27)</f>
        <v>159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166</v>
      </c>
      <c r="AD27" s="364"/>
      <c r="AE27" s="363">
        <f>ABS(INDEX(AE:AE,MATCH(AE22,$AA:$AA,0)+11)+INDEX(AE:AE,MATCH(AE22,$AA:$AA,0)+12)+INDEX(AE:AE,MATCH(AE22,$AA:$AA,0)+13))</f>
        <v>137</v>
      </c>
      <c r="AF27" s="364"/>
      <c r="AG27" s="363">
        <f>ABS(INDEX(AG:AG,MATCH(AG22,$AA:$AA,0)+11)+INDEX(AG:AG,MATCH(AG22,$AA:$AA,0)+12)+INDEX(AG:AG,MATCH(AG22,$AA:$AA,0)+13))</f>
        <v>139</v>
      </c>
      <c r="AH27" s="364"/>
      <c r="AI27" s="363">
        <f>ABS(INDEX(AI:AI,MATCH(AI22,$AA:$AA,0)+11)+INDEX(AI:AI,MATCH(AI22,$AA:$AA,0)+12)+INDEX(AI:AI,MATCH(AI22,$AA:$AA,0)+13))</f>
        <v>153</v>
      </c>
      <c r="AJ27" s="364"/>
      <c r="AK27" s="363">
        <f>ABS(INDEX(AK:AK,MATCH(AK22,$AA:$AA,0)+11)+INDEX(AK:AK,MATCH(AK22,$AA:$AA,0)+12)+INDEX(AK:AK,MATCH(AK22,$AA:$AA,0)+13))</f>
        <v>157</v>
      </c>
      <c r="AL27" s="364"/>
      <c r="AM27" s="363">
        <f>ABS(INDEX(AM:AM,MATCH(AM22,$AA:$AA,0)+11)+INDEX(AM:AM,MATCH(AM22,$AA:$AA,0)+12)+INDEX(AM:AM,MATCH(AM22,$AA:$AA,0)+13))</f>
        <v>181</v>
      </c>
      <c r="AN27" s="364"/>
      <c r="AO27" s="363">
        <f>ABS(INDEX(AO:AO,MATCH(AO22,$AA:$AA,0)+11)+INDEX(AO:AO,MATCH(AO22,$AA:$AA,0)+12)+INDEX(AO:AO,MATCH(AO22,$AA:$AA,0)+13))</f>
        <v>212</v>
      </c>
      <c r="AP27" s="364"/>
      <c r="AQ27" s="363">
        <f>ABS(INDEX(AQ:AQ,MATCH(AQ22,$AA:$AA,0)+11)+INDEX(AQ:AQ,MATCH(AQ22,$AA:$AA,0)+12)+INDEX(AQ:AQ,MATCH(AQ22,$AA:$AA,0)+13))</f>
        <v>167</v>
      </c>
      <c r="AR27" s="364"/>
      <c r="AS27" s="363">
        <f>ABS(INDEX(AS:AS,MATCH(AS22,$AA:$AA,0)+11)+INDEX(AS:AS,MATCH(AS22,$AA:$AA,0)+12)+INDEX(AS:AS,MATCH(AS22,$AA:$AA,0)+13))</f>
        <v>159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159</v>
      </c>
      <c r="E28" s="359" t="str">
        <f>IF(AD28=0,"",AD28)</f>
        <v/>
      </c>
      <c r="F28" s="359">
        <f>IF(AE28=301,"",AE28)</f>
        <v>182</v>
      </c>
      <c r="G28" s="359" t="str">
        <f>IF(AF28=0,"",AF28)</f>
        <v/>
      </c>
      <c r="H28" s="359">
        <f>IF(AG28=301,"",AG28)</f>
        <v>167</v>
      </c>
      <c r="I28" s="359" t="str">
        <f>IF(AH28=0,"",AH28)</f>
        <v/>
      </c>
      <c r="J28" s="359">
        <f>IF(AI28=301,"",AI28)</f>
        <v>191</v>
      </c>
      <c r="K28" s="359" t="str">
        <f>IF(AJ28=0,"",AJ28)</f>
        <v/>
      </c>
      <c r="L28" s="359">
        <f>IF(AK28=301,"",AK28)</f>
        <v>154</v>
      </c>
      <c r="M28" s="359" t="str">
        <f>IF(AL28=0,"",AL28)</f>
        <v/>
      </c>
      <c r="N28" s="359">
        <f>IF(AM28=301,"",AM28)</f>
        <v>181</v>
      </c>
      <c r="O28" s="359" t="str">
        <f>IF(AN28=0,"",AN28)</f>
        <v/>
      </c>
      <c r="P28" s="359">
        <f>IF(AO28=301,"",AO28)</f>
        <v>184</v>
      </c>
      <c r="Q28" s="359" t="str">
        <f>IF(AP28=0,"",AP28)</f>
        <v/>
      </c>
      <c r="R28" s="359">
        <f>IF(AQ28=301,"",AQ28)</f>
        <v>165</v>
      </c>
      <c r="S28" s="359" t="str">
        <f>IF(AR28=0,"",AR28)</f>
        <v/>
      </c>
      <c r="T28" s="359">
        <f>IF(AS28=301,"",AS28)</f>
        <v>224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159</v>
      </c>
      <c r="AD28" s="364"/>
      <c r="AE28" s="363">
        <f>ABS(INDEX(AE:AE,MATCH(AE22,$AA:$AA,0)+14)+INDEX(AE:AE,MATCH(AE22,$AA:$AA,0)+15)+INDEX(AE:AE,MATCH(AE22,$AA:$AA,0)+16))</f>
        <v>182</v>
      </c>
      <c r="AF28" s="364"/>
      <c r="AG28" s="363">
        <f>ABS(INDEX(AG:AG,MATCH(AG22,$AA:$AA,0)+14)+INDEX(AG:AG,MATCH(AG22,$AA:$AA,0)+15)+INDEX(AG:AG,MATCH(AG22,$AA:$AA,0)+16))</f>
        <v>167</v>
      </c>
      <c r="AH28" s="364"/>
      <c r="AI28" s="363">
        <f>ABS(INDEX(AI:AI,MATCH(AI22,$AA:$AA,0)+14)+INDEX(AI:AI,MATCH(AI22,$AA:$AA,0)+15)+INDEX(AI:AI,MATCH(AI22,$AA:$AA,0)+16))</f>
        <v>191</v>
      </c>
      <c r="AJ28" s="364"/>
      <c r="AK28" s="363">
        <f>ABS(INDEX(AK:AK,MATCH(AK22,$AA:$AA,0)+14)+INDEX(AK:AK,MATCH(AK22,$AA:$AA,0)+15)+INDEX(AK:AK,MATCH(AK22,$AA:$AA,0)+16))</f>
        <v>154</v>
      </c>
      <c r="AL28" s="364"/>
      <c r="AM28" s="363">
        <f>ABS(INDEX(AM:AM,MATCH(AM22,$AA:$AA,0)+14)+INDEX(AM:AM,MATCH(AM22,$AA:$AA,0)+15)+INDEX(AM:AM,MATCH(AM22,$AA:$AA,0)+16))</f>
        <v>181</v>
      </c>
      <c r="AN28" s="364"/>
      <c r="AO28" s="363">
        <f>ABS(INDEX(AO:AO,MATCH(AO22,$AA:$AA,0)+14)+INDEX(AO:AO,MATCH(AO22,$AA:$AA,0)+15)+INDEX(AO:AO,MATCH(AO22,$AA:$AA,0)+16))</f>
        <v>184</v>
      </c>
      <c r="AP28" s="364"/>
      <c r="AQ28" s="363">
        <f>ABS(INDEX(AQ:AQ,MATCH(AQ22,$AA:$AA,0)+14)+INDEX(AQ:AQ,MATCH(AQ22,$AA:$AA,0)+15)+INDEX(AQ:AQ,MATCH(AQ22,$AA:$AA,0)+16))</f>
        <v>165</v>
      </c>
      <c r="AR28" s="364"/>
      <c r="AS28" s="363">
        <f>ABS(INDEX(AS:AS,MATCH(AS22,$AA:$AA,0)+14)+INDEX(AS:AS,MATCH(AS22,$AA:$AA,0)+15)+INDEX(AS:AS,MATCH(AS22,$AA:$AA,0)+16))</f>
        <v>224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612</v>
      </c>
      <c r="E29" s="362" t="str">
        <f>IF(AD29=0,"",AD29)</f>
        <v/>
      </c>
      <c r="F29" s="362">
        <f>IF(AE29=1505,"",AE29)</f>
        <v>644</v>
      </c>
      <c r="G29" s="362" t="str">
        <f>IF(AF29=0,"",AF29)</f>
        <v/>
      </c>
      <c r="H29" s="362">
        <f>IF(AG29=1505,"",AG29)</f>
        <v>659</v>
      </c>
      <c r="I29" s="362" t="str">
        <f>IF(AH29=0,"",AH29)</f>
        <v/>
      </c>
      <c r="J29" s="362">
        <f>IF(AI29=1505,"",AI29)</f>
        <v>722</v>
      </c>
      <c r="K29" s="362" t="str">
        <f>IF(AJ29=0,"",AJ29)</f>
        <v/>
      </c>
      <c r="L29" s="362">
        <f>IF(AK29=1505,"",AK29)</f>
        <v>693</v>
      </c>
      <c r="M29" s="362" t="str">
        <f>IF(AL29=0,"",AL29)</f>
        <v/>
      </c>
      <c r="N29" s="362">
        <f>IF(AM29=1505,"",AM29)</f>
        <v>722</v>
      </c>
      <c r="O29" s="362" t="str">
        <f>IF(AN29=0,"",AN29)</f>
        <v/>
      </c>
      <c r="P29" s="362">
        <f>IF(AO29=1505,"",AO29)</f>
        <v>684</v>
      </c>
      <c r="Q29" s="362" t="str">
        <f>IF(AP29=0,"",AP29)</f>
        <v/>
      </c>
      <c r="R29" s="362">
        <f>IF(AQ29=1505,"",AQ29)</f>
        <v>659</v>
      </c>
      <c r="S29" s="362" t="str">
        <f>IF(AR29=0,"",AR29)</f>
        <v/>
      </c>
      <c r="T29" s="362">
        <f>IF(AS29=1505,"",AS29)</f>
        <v>768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612</v>
      </c>
      <c r="AD29" s="344"/>
      <c r="AE29" s="343">
        <f>SUM(AE25:AE28)</f>
        <v>644</v>
      </c>
      <c r="AF29" s="344"/>
      <c r="AG29" s="343">
        <f>SUM(AG25:AG28)</f>
        <v>659</v>
      </c>
      <c r="AH29" s="344"/>
      <c r="AI29" s="343">
        <f>SUM(AI25:AI28)</f>
        <v>722</v>
      </c>
      <c r="AJ29" s="344"/>
      <c r="AK29" s="343">
        <f>SUM(AK25:AK28)</f>
        <v>693</v>
      </c>
      <c r="AL29" s="344"/>
      <c r="AM29" s="343">
        <f>SUM(AM25:AM28)</f>
        <v>722</v>
      </c>
      <c r="AN29" s="344"/>
      <c r="AO29" s="343">
        <f>SUM(AO25:AO28)</f>
        <v>684</v>
      </c>
      <c r="AP29" s="344"/>
      <c r="AQ29" s="343">
        <f>SUM(AQ25:AQ28)</f>
        <v>659</v>
      </c>
      <c r="AR29" s="344"/>
      <c r="AS29" s="343">
        <f>SUM(AS25:AS28)</f>
        <v>768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02.11./03.11.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02.11./03.11.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Regensburg Super Bowl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5">
        <f>IF(AD37="","",AD37)</f>
        <v>0</v>
      </c>
      <c r="F37" s="75">
        <f t="shared" ref="F37:F50" si="34">IF(AE37=0,"",AE37)</f>
        <v>161</v>
      </c>
      <c r="G37" s="345">
        <f>IF(AF37="","",AF37)</f>
        <v>0</v>
      </c>
      <c r="H37" s="75">
        <f t="shared" ref="H37:H50" si="35">IF(AG37=0,"",AG37)</f>
        <v>182</v>
      </c>
      <c r="I37" s="345">
        <f>IF(AH37="","",AH37)</f>
        <v>1</v>
      </c>
      <c r="J37" s="75">
        <f t="shared" ref="J37:J50" si="36">IF(AI37=0,"",AI37)</f>
        <v>184</v>
      </c>
      <c r="K37" s="345">
        <f>IF(AJ37="","",AJ37)</f>
        <v>0</v>
      </c>
      <c r="L37" s="75">
        <f t="shared" ref="L37:L50" si="37">IF(AK37=0,"",AK37)</f>
        <v>202</v>
      </c>
      <c r="M37" s="345">
        <f>IF(AL37="","",AL37)</f>
        <v>1</v>
      </c>
      <c r="N37" s="75">
        <f>IF(AM37=0,"",AM37)</f>
        <v>172</v>
      </c>
      <c r="O37" s="345">
        <f>IF(AN37="","",AN37)</f>
        <v>0</v>
      </c>
      <c r="P37" s="75">
        <f t="shared" ref="P37:P50" si="38">IF(AO37=0,"",AO37)</f>
        <v>159</v>
      </c>
      <c r="Q37" s="345">
        <f>IF(AP37="","",AP37)</f>
        <v>0</v>
      </c>
      <c r="R37" s="75">
        <f t="shared" ref="R37:R50" si="39">IF(AQ37=0,"",AQ37)</f>
        <v>188</v>
      </c>
      <c r="S37" s="345">
        <f>IF(AR37="","",AR37)</f>
        <v>1</v>
      </c>
      <c r="T37" s="75">
        <f t="shared" ref="T37:T50" si="40">IF(AS37=0,"",AS37)</f>
        <v>148</v>
      </c>
      <c r="U37" s="345">
        <f>IF(AT37="","",AT37)</f>
        <v>1</v>
      </c>
      <c r="V37" s="75">
        <f t="shared" ref="V37:V50" si="41">IF(AU37=0,"",AU37)</f>
        <v>1594</v>
      </c>
      <c r="W37" s="345">
        <f>IF(AV37="","",AV37)</f>
        <v>4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3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5">
        <f>IF(AD40="","",AD40)</f>
        <v>0</v>
      </c>
      <c r="F40" s="75">
        <f t="shared" si="34"/>
        <v>164</v>
      </c>
      <c r="G40" s="345">
        <f>IF(AF40="","",AF40)</f>
        <v>0</v>
      </c>
      <c r="H40" s="75">
        <f t="shared" si="35"/>
        <v>189</v>
      </c>
      <c r="I40" s="345">
        <f>IF(AH40="","",AH40)</f>
        <v>0</v>
      </c>
      <c r="J40" s="75">
        <f t="shared" si="36"/>
        <v>193</v>
      </c>
      <c r="K40" s="345">
        <f>IF(AJ40="","",AJ40)</f>
        <v>1</v>
      </c>
      <c r="L40" s="75">
        <f t="shared" si="37"/>
        <v>143</v>
      </c>
      <c r="M40" s="345">
        <f>IF(AL40="","",AL40)</f>
        <v>0</v>
      </c>
      <c r="N40" s="75">
        <f t="shared" si="54"/>
        <v>184</v>
      </c>
      <c r="O40" s="345">
        <f>IF(AN40="","",AN40)</f>
        <v>1</v>
      </c>
      <c r="P40" s="75">
        <f t="shared" si="38"/>
        <v>187</v>
      </c>
      <c r="Q40" s="345">
        <f>IF(AP40="","",AP40)</f>
        <v>0</v>
      </c>
      <c r="R40" s="75">
        <f t="shared" si="39"/>
        <v>175</v>
      </c>
      <c r="S40" s="345">
        <f>IF(AR40="","",AR40)</f>
        <v>1</v>
      </c>
      <c r="T40" s="75">
        <f t="shared" si="40"/>
        <v>177</v>
      </c>
      <c r="U40" s="345">
        <f>IF(AT40="","",AT40)</f>
        <v>0</v>
      </c>
      <c r="V40" s="75">
        <f t="shared" si="41"/>
        <v>1583</v>
      </c>
      <c r="W40" s="345">
        <f>IF(AV40="","",AV40)</f>
        <v>3</v>
      </c>
      <c r="Z40" s="348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3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5">
        <f>IF(AD43="","",AD43)</f>
        <v>0</v>
      </c>
      <c r="F43" s="75">
        <f t="shared" si="34"/>
        <v>137</v>
      </c>
      <c r="G43" s="345">
        <f>IF(AF43="","",AF43)</f>
        <v>0</v>
      </c>
      <c r="H43" s="75">
        <f t="shared" si="35"/>
        <v>167</v>
      </c>
      <c r="I43" s="345">
        <f>IF(AH43="","",AH43)</f>
        <v>1</v>
      </c>
      <c r="J43" s="75">
        <f t="shared" si="36"/>
        <v>147</v>
      </c>
      <c r="K43" s="345">
        <f>IF(AJ43="","",AJ43)</f>
        <v>0</v>
      </c>
      <c r="L43" s="75">
        <f t="shared" si="37"/>
        <v>153</v>
      </c>
      <c r="M43" s="345">
        <f>IF(AL43="","",AL43)</f>
        <v>0</v>
      </c>
      <c r="N43" s="75">
        <f t="shared" si="54"/>
        <v>184</v>
      </c>
      <c r="O43" s="345">
        <f>IF(AN43="","",AN43)</f>
        <v>1</v>
      </c>
      <c r="P43" s="75">
        <f t="shared" si="38"/>
        <v>157</v>
      </c>
      <c r="Q43" s="345">
        <f>IF(AP43="","",AP43)</f>
        <v>1</v>
      </c>
      <c r="R43" s="75">
        <f t="shared" si="39"/>
        <v>171</v>
      </c>
      <c r="S43" s="345">
        <f>IF(AR43="","",AR43)</f>
        <v>1</v>
      </c>
      <c r="T43" s="75">
        <f t="shared" si="40"/>
        <v>222</v>
      </c>
      <c r="U43" s="345">
        <f>IF(AT43="","",AT43)</f>
        <v>1</v>
      </c>
      <c r="V43" s="75">
        <f t="shared" si="41"/>
        <v>1499</v>
      </c>
      <c r="W43" s="345">
        <f>IF(AV43="","",AV43)</f>
        <v>5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3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5">
        <f>IF(AD46="","",AD46)</f>
        <v>1</v>
      </c>
      <c r="F46" s="75">
        <f t="shared" si="34"/>
        <v>182</v>
      </c>
      <c r="G46" s="345">
        <f>IF(AF46="","",AF46)</f>
        <v>0</v>
      </c>
      <c r="H46" s="75">
        <f t="shared" si="35"/>
        <v>182</v>
      </c>
      <c r="I46" s="345">
        <f>IF(AH46="","",AH46)</f>
        <v>0</v>
      </c>
      <c r="J46" s="75">
        <f t="shared" si="36"/>
        <v>204</v>
      </c>
      <c r="K46" s="345">
        <f>IF(AJ46="","",AJ46)</f>
        <v>0</v>
      </c>
      <c r="L46" s="75">
        <f t="shared" si="37"/>
        <v>202</v>
      </c>
      <c r="M46" s="345">
        <f>IF(AL46="","",AL46)</f>
        <v>1</v>
      </c>
      <c r="N46" s="75">
        <f t="shared" si="54"/>
        <v>172</v>
      </c>
      <c r="O46" s="345">
        <f>IF(AN46="","",AN46)</f>
        <v>0</v>
      </c>
      <c r="P46" s="75">
        <f t="shared" si="38"/>
        <v>192</v>
      </c>
      <c r="Q46" s="345">
        <f>IF(AP46="","",AP46)</f>
        <v>0</v>
      </c>
      <c r="R46" s="75">
        <f t="shared" si="39"/>
        <v>192</v>
      </c>
      <c r="S46" s="345">
        <f>IF(AR46="","",AR46)</f>
        <v>1</v>
      </c>
      <c r="T46" s="75">
        <f t="shared" si="40"/>
        <v>213</v>
      </c>
      <c r="U46" s="345">
        <f>IF(AT46="","",AT46)</f>
        <v>0.5</v>
      </c>
      <c r="V46" s="75">
        <f t="shared" si="41"/>
        <v>1729</v>
      </c>
      <c r="W46" s="345">
        <f>IF(AV46="","",AV46)</f>
        <v>3.5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8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9</v>
      </c>
      <c r="E52" s="353" t="str">
        <f t="shared" si="65"/>
        <v/>
      </c>
      <c r="F52" s="353">
        <f t="shared" si="65"/>
        <v>1</v>
      </c>
      <c r="G52" s="353" t="str">
        <f t="shared" si="65"/>
        <v/>
      </c>
      <c r="H52" s="353">
        <f t="shared" si="65"/>
        <v>10</v>
      </c>
      <c r="I52" s="353" t="str">
        <f t="shared" si="65"/>
        <v/>
      </c>
      <c r="J52" s="353">
        <f t="shared" si="65"/>
        <v>5</v>
      </c>
      <c r="K52" s="353" t="str">
        <f t="shared" si="65"/>
        <v/>
      </c>
      <c r="L52" s="353">
        <f t="shared" si="65"/>
        <v>3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N52:U54" si="66">IF(AQ52=0,"",AQ52)</f>
        <v>4</v>
      </c>
      <c r="S52" s="353" t="str">
        <f t="shared" si="66"/>
        <v/>
      </c>
      <c r="T52" s="353">
        <f t="shared" si="66"/>
        <v>6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VLOOKUP($AA32,Schlüssel!$A$5:$DG$14,23)</f>
        <v>9</v>
      </c>
      <c r="AD52" s="368"/>
      <c r="AE52" s="367">
        <f>VLOOKUP($AA32,Schlüssel!$A$5:$EK$14,24)</f>
        <v>1</v>
      </c>
      <c r="AF52" s="368"/>
      <c r="AG52" s="367">
        <f>VLOOKUP($AA32,Schlüssel!$A$5:$EK$14,25)</f>
        <v>10</v>
      </c>
      <c r="AH52" s="368"/>
      <c r="AI52" s="367">
        <f>VLOOKUP($AA32,Schlüssel!$A$5:$EK$14,26)</f>
        <v>5</v>
      </c>
      <c r="AJ52" s="368"/>
      <c r="AK52" s="367">
        <f>VLOOKUP($AA32,Schlüssel!$A$5:$EK$14,27)</f>
        <v>3</v>
      </c>
      <c r="AL52" s="368"/>
      <c r="AM52" s="367">
        <f>VLOOKUP($AA32,Schlüssel!$A$5:$EK$14,28)</f>
        <v>7</v>
      </c>
      <c r="AN52" s="368"/>
      <c r="AO52" s="367">
        <f>VLOOKUP($AA32,Schlüssel!$A$5:$EK$14,29)</f>
        <v>8</v>
      </c>
      <c r="AP52" s="368"/>
      <c r="AQ52" s="367">
        <f>VLOOKUP($AA32,Schlüssel!$A$5:$EK$14,30)</f>
        <v>4</v>
      </c>
      <c r="AR52" s="368"/>
      <c r="AS52" s="367">
        <f>VLOOKUP($AA32,Schlüssel!$A$5:$EK$14,31)</f>
        <v>6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5" t="str">
        <f t="shared" si="67"/>
        <v>RW Lichtenhof 69 Stein 2</v>
      </c>
      <c r="E53" s="356" t="str">
        <f t="shared" si="67"/>
        <v/>
      </c>
      <c r="F53" s="355" t="str">
        <f t="shared" si="67"/>
        <v>Praetoria Regensburg</v>
      </c>
      <c r="G53" s="356" t="str">
        <f t="shared" si="67"/>
        <v/>
      </c>
      <c r="H53" s="355" t="str">
        <f t="shared" si="67"/>
        <v>BK München 4</v>
      </c>
      <c r="I53" s="356" t="str">
        <f t="shared" si="67"/>
        <v/>
      </c>
      <c r="J53" s="355" t="str">
        <f t="shared" si="67"/>
        <v xml:space="preserve">Weiß Blau Unterföhring </v>
      </c>
      <c r="K53" s="356" t="str">
        <f t="shared" si="67"/>
        <v/>
      </c>
      <c r="L53" s="355" t="str">
        <f t="shared" si="67"/>
        <v>Highroller Rosenheim</v>
      </c>
      <c r="M53" s="356" t="str">
        <f t="shared" si="67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>Phönix 03 Lauf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RW Lichtenhof 69 Stein 2</v>
      </c>
      <c r="AD53" s="356"/>
      <c r="AE53" s="355" t="str">
        <f>VLOOKUP(AE52,Schlüssel!$A$5:$K$14,2)</f>
        <v>Praetoria Regensburg</v>
      </c>
      <c r="AF53" s="356"/>
      <c r="AG53" s="355" t="str">
        <f>VLOOKUP(AG52,Schlüssel!$A$5:$K$14,2)</f>
        <v>BK München 4</v>
      </c>
      <c r="AH53" s="356"/>
      <c r="AI53" s="355" t="str">
        <f>VLOOKUP(AI52,Schlüssel!$A$5:$K$14,2)</f>
        <v xml:space="preserve">Weiß Blau Unterföhring 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>Phönix 03 Lauf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7"/>
        <v/>
      </c>
      <c r="M54" s="357" t="str">
        <f t="shared" si="67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203</v>
      </c>
      <c r="E55" s="359" t="str">
        <f>IF(AD55=0,"",AD55)</f>
        <v/>
      </c>
      <c r="F55" s="359">
        <f>IF(AE55=301,"",AE55)</f>
        <v>174</v>
      </c>
      <c r="G55" s="359" t="str">
        <f>IF(AF55=0,"",AF55)</f>
        <v/>
      </c>
      <c r="H55" s="359">
        <f>IF(AG55=301,"",AG55)</f>
        <v>163</v>
      </c>
      <c r="I55" s="359" t="str">
        <f>IF(AH55=0,"",AH55)</f>
        <v/>
      </c>
      <c r="J55" s="359">
        <f>IF(AI55=301,"",AI55)</f>
        <v>194</v>
      </c>
      <c r="K55" s="359" t="str">
        <f>IF(AJ55=0,"",AJ55)</f>
        <v/>
      </c>
      <c r="L55" s="359">
        <f>IF(AK55=301,"",AK55)</f>
        <v>178</v>
      </c>
      <c r="M55" s="359" t="str">
        <f>IF(AL55=0,"",AL55)</f>
        <v/>
      </c>
      <c r="N55" s="359">
        <f>IF(AM55=301,"",AM55)</f>
        <v>196</v>
      </c>
      <c r="O55" s="359" t="str">
        <f>IF(AN55=0,"",AN55)</f>
        <v/>
      </c>
      <c r="P55" s="359">
        <f>IF(AO55=301,"",AO55)</f>
        <v>213</v>
      </c>
      <c r="Q55" s="359" t="str">
        <f>IF(AP55=0,"",AP55)</f>
        <v/>
      </c>
      <c r="R55" s="359">
        <f>IF(AQ55=301,"",AQ55)</f>
        <v>183</v>
      </c>
      <c r="S55" s="359" t="str">
        <f>IF(AR55=0,"",AR55)</f>
        <v/>
      </c>
      <c r="T55" s="359">
        <f>IF(AS55=301,"",AS55)</f>
        <v>146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203</v>
      </c>
      <c r="AD55" s="366"/>
      <c r="AE55" s="365">
        <f>ABS(INDEX(AE:AE,MATCH(AE52,$AA:$AA,0)+5)+INDEX(AE:AE,MATCH(AE52,$AA:$AA,0)+6)+INDEX(AE:AE,MATCH(AE52,$AA:$AA,0)+7))</f>
        <v>174</v>
      </c>
      <c r="AF55" s="366"/>
      <c r="AG55" s="365">
        <f>ABS(INDEX(AG:AG,MATCH(AG52,$AA:$AA,0)+5)+INDEX(AG:AG,MATCH(AG52,$AA:$AA,0)+6)+INDEX(AG:AG,MATCH(AG52,$AA:$AA,0)+7))</f>
        <v>163</v>
      </c>
      <c r="AH55" s="366"/>
      <c r="AI55" s="365">
        <f>ABS(INDEX(AI:AI,MATCH(AI52,$AA:$AA,0)+5)+INDEX(AI:AI,MATCH(AI52,$AA:$AA,0)+6)+INDEX(AI:AI,MATCH(AI52,$AA:$AA,0)+7))</f>
        <v>194</v>
      </c>
      <c r="AJ55" s="366"/>
      <c r="AK55" s="365">
        <f>ABS(INDEX(AK:AK,MATCH(AK52,$AA:$AA,0)+5)+INDEX(AK:AK,MATCH(AK52,$AA:$AA,0)+6)+INDEX(AK:AK,MATCH(AK52,$AA:$AA,0)+7))</f>
        <v>178</v>
      </c>
      <c r="AL55" s="366"/>
      <c r="AM55" s="365">
        <f>ABS(INDEX(AM:AM,MATCH(AM52,$AA:$AA,0)+5)+INDEX(AM:AM,MATCH(AM52,$AA:$AA,0)+6)+INDEX(AM:AM,MATCH(AM52,$AA:$AA,0)+7))</f>
        <v>196</v>
      </c>
      <c r="AN55" s="366"/>
      <c r="AO55" s="365">
        <f>ABS(INDEX(AO:AO,MATCH(AO52,$AA:$AA,0)+5)+INDEX(AO:AO,MATCH(AO52,$AA:$AA,0)+6)+INDEX(AO:AO,MATCH(AO52,$AA:$AA,0)+7))</f>
        <v>213</v>
      </c>
      <c r="AP55" s="366"/>
      <c r="AQ55" s="365">
        <f>ABS(INDEX(AQ:AQ,MATCH(AQ52,$AA:$AA,0)+5)+INDEX(AQ:AQ,MATCH(AQ52,$AA:$AA,0)+6)+INDEX(AQ:AQ,MATCH(AQ52,$AA:$AA,0)+7))</f>
        <v>183</v>
      </c>
      <c r="AR55" s="366"/>
      <c r="AS55" s="365">
        <f>ABS(INDEX(AS:AS,MATCH(AS52,$AA:$AA,0)+5)+INDEX(AS:AS,MATCH(AS52,$AA:$AA,0)+6)+INDEX(AS:AS,MATCH(AS52,$AA:$AA,0)+7))</f>
        <v>146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180</v>
      </c>
      <c r="E56" s="359" t="str">
        <f>IF(AD56=0,"",AD56)</f>
        <v/>
      </c>
      <c r="F56" s="359">
        <f>IF(AE56=301,"",AE56)</f>
        <v>228</v>
      </c>
      <c r="G56" s="359" t="str">
        <f>IF(AF56=0,"",AF56)</f>
        <v/>
      </c>
      <c r="H56" s="359">
        <f>IF(AG56=301,"",AG56)</f>
        <v>223</v>
      </c>
      <c r="I56" s="359" t="str">
        <f>IF(AH56=0,"",AH56)</f>
        <v/>
      </c>
      <c r="J56" s="359">
        <f>IF(AI56=301,"",AI56)</f>
        <v>183</v>
      </c>
      <c r="K56" s="359" t="str">
        <f>IF(AJ56=0,"",AJ56)</f>
        <v/>
      </c>
      <c r="L56" s="359">
        <f>IF(AK56=301,"",AK56)</f>
        <v>157</v>
      </c>
      <c r="M56" s="359" t="str">
        <f>IF(AL56=0,"",AL56)</f>
        <v/>
      </c>
      <c r="N56" s="359">
        <f>IF(AM56=301,"",AM56)</f>
        <v>183</v>
      </c>
      <c r="O56" s="359" t="str">
        <f>IF(AN56=0,"",AN56)</f>
        <v/>
      </c>
      <c r="P56" s="359">
        <f>IF(AO56=301,"",AO56)</f>
        <v>202</v>
      </c>
      <c r="Q56" s="359" t="str">
        <f>IF(AP56=0,"",AP56)</f>
        <v/>
      </c>
      <c r="R56" s="359">
        <f>IF(AQ56=301,"",AQ56)</f>
        <v>127</v>
      </c>
      <c r="S56" s="359" t="str">
        <f>IF(AR56=0,"",AR56)</f>
        <v/>
      </c>
      <c r="T56" s="359">
        <f>IF(AS56=301,"",AS56)</f>
        <v>180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180</v>
      </c>
      <c r="AD56" s="364"/>
      <c r="AE56" s="363">
        <f>ABS(INDEX(AE:AE,MATCH(AE52,$AA:$AA,0)+8)+INDEX(AE:AE,MATCH(AE52,$AA:$AA,0)+9)+INDEX(AE:AE,MATCH(AE52,$AA:$AA,0)+10))</f>
        <v>228</v>
      </c>
      <c r="AF56" s="364"/>
      <c r="AG56" s="363">
        <f>ABS(INDEX(AG:AG,MATCH(AG52,$AA:$AA,0)+8)+INDEX(AG:AG,MATCH(AG52,$AA:$AA,0)+9)+INDEX(AG:AG,MATCH(AG52,$AA:$AA,0)+10))</f>
        <v>223</v>
      </c>
      <c r="AH56" s="364"/>
      <c r="AI56" s="363">
        <f>ABS(INDEX(AI:AI,MATCH(AI52,$AA:$AA,0)+8)+INDEX(AI:AI,MATCH(AI52,$AA:$AA,0)+9)+INDEX(AI:AI,MATCH(AI52,$AA:$AA,0)+10))</f>
        <v>183</v>
      </c>
      <c r="AJ56" s="364"/>
      <c r="AK56" s="363">
        <f>ABS(INDEX(AK:AK,MATCH(AK52,$AA:$AA,0)+8)+INDEX(AK:AK,MATCH(AK52,$AA:$AA,0)+9)+INDEX(AK:AK,MATCH(AK52,$AA:$AA,0)+10))</f>
        <v>157</v>
      </c>
      <c r="AL56" s="364"/>
      <c r="AM56" s="363">
        <f>ABS(INDEX(AM:AM,MATCH(AM52,$AA:$AA,0)+8)+INDEX(AM:AM,MATCH(AM52,$AA:$AA,0)+9)+INDEX(AM:AM,MATCH(AM52,$AA:$AA,0)+10))</f>
        <v>183</v>
      </c>
      <c r="AN56" s="364"/>
      <c r="AO56" s="363">
        <f>ABS(INDEX(AO:AO,MATCH(AO52,$AA:$AA,0)+8)+INDEX(AO:AO,MATCH(AO52,$AA:$AA,0)+9)+INDEX(AO:AO,MATCH(AO52,$AA:$AA,0)+10))</f>
        <v>202</v>
      </c>
      <c r="AP56" s="364"/>
      <c r="AQ56" s="363">
        <f>ABS(INDEX(AQ:AQ,MATCH(AQ52,$AA:$AA,0)+8)+INDEX(AQ:AQ,MATCH(AQ52,$AA:$AA,0)+9)+INDEX(AQ:AQ,MATCH(AQ52,$AA:$AA,0)+10))</f>
        <v>127</v>
      </c>
      <c r="AR56" s="364"/>
      <c r="AS56" s="363">
        <f>ABS(INDEX(AS:AS,MATCH(AS52,$AA:$AA,0)+8)+INDEX(AS:AS,MATCH(AS52,$AA:$AA,0)+9)+INDEX(AS:AS,MATCH(AS52,$AA:$AA,0)+10))</f>
        <v>180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198</v>
      </c>
      <c r="E57" s="359" t="str">
        <f>IF(AD57=0,"",AD57)</f>
        <v/>
      </c>
      <c r="F57" s="359">
        <f>IF(AE57=301,"",AE57)</f>
        <v>172</v>
      </c>
      <c r="G57" s="359" t="str">
        <f>IF(AF57=0,"",AF57)</f>
        <v/>
      </c>
      <c r="H57" s="359">
        <f>IF(AG57=301,"",AG57)</f>
        <v>150</v>
      </c>
      <c r="I57" s="359" t="str">
        <f>IF(AH57=0,"",AH57)</f>
        <v/>
      </c>
      <c r="J57" s="359">
        <f>IF(AI57=301,"",AI57)</f>
        <v>167</v>
      </c>
      <c r="K57" s="359" t="str">
        <f>IF(AJ57=0,"",AJ57)</f>
        <v/>
      </c>
      <c r="L57" s="359">
        <f>IF(AK57=301,"",AK57)</f>
        <v>162</v>
      </c>
      <c r="M57" s="359" t="str">
        <f>IF(AL57=0,"",AL57)</f>
        <v/>
      </c>
      <c r="N57" s="359">
        <f>IF(AM57=301,"",AM57)</f>
        <v>146</v>
      </c>
      <c r="O57" s="359" t="str">
        <f>IF(AN57=0,"",AN57)</f>
        <v/>
      </c>
      <c r="P57" s="359">
        <f>IF(AO57=301,"",AO57)</f>
        <v>131</v>
      </c>
      <c r="Q57" s="359" t="str">
        <f>IF(AP57=0,"",AP57)</f>
        <v/>
      </c>
      <c r="R57" s="359">
        <f>IF(AQ57=301,"",AQ57)</f>
        <v>115</v>
      </c>
      <c r="S57" s="359" t="str">
        <f>IF(AR57=0,"",AR57)</f>
        <v/>
      </c>
      <c r="T57" s="359">
        <f>IF(AS57=301,"",AS57)</f>
        <v>183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198</v>
      </c>
      <c r="AD57" s="364"/>
      <c r="AE57" s="363">
        <f>ABS(INDEX(AE:AE,MATCH(AE52,$AA:$AA,0)+11)+INDEX(AE:AE,MATCH(AE52,$AA:$AA,0)+12)+INDEX(AE:AE,MATCH(AE52,$AA:$AA,0)+13))</f>
        <v>172</v>
      </c>
      <c r="AF57" s="364"/>
      <c r="AG57" s="363">
        <f>ABS(INDEX(AG:AG,MATCH(AG52,$AA:$AA,0)+11)+INDEX(AG:AG,MATCH(AG52,$AA:$AA,0)+12)+INDEX(AG:AG,MATCH(AG52,$AA:$AA,0)+13))</f>
        <v>150</v>
      </c>
      <c r="AH57" s="364"/>
      <c r="AI57" s="363">
        <f>ABS(INDEX(AI:AI,MATCH(AI52,$AA:$AA,0)+11)+INDEX(AI:AI,MATCH(AI52,$AA:$AA,0)+12)+INDEX(AI:AI,MATCH(AI52,$AA:$AA,0)+13))</f>
        <v>167</v>
      </c>
      <c r="AJ57" s="364"/>
      <c r="AK57" s="363">
        <f>ABS(INDEX(AK:AK,MATCH(AK52,$AA:$AA,0)+11)+INDEX(AK:AK,MATCH(AK52,$AA:$AA,0)+12)+INDEX(AK:AK,MATCH(AK52,$AA:$AA,0)+13))</f>
        <v>162</v>
      </c>
      <c r="AL57" s="364"/>
      <c r="AM57" s="363">
        <f>ABS(INDEX(AM:AM,MATCH(AM52,$AA:$AA,0)+11)+INDEX(AM:AM,MATCH(AM52,$AA:$AA,0)+12)+INDEX(AM:AM,MATCH(AM52,$AA:$AA,0)+13))</f>
        <v>146</v>
      </c>
      <c r="AN57" s="364"/>
      <c r="AO57" s="363">
        <f>ABS(INDEX(AO:AO,MATCH(AO52,$AA:$AA,0)+11)+INDEX(AO:AO,MATCH(AO52,$AA:$AA,0)+12)+INDEX(AO:AO,MATCH(AO52,$AA:$AA,0)+13))</f>
        <v>131</v>
      </c>
      <c r="AP57" s="364"/>
      <c r="AQ57" s="363">
        <f>ABS(INDEX(AQ:AQ,MATCH(AQ52,$AA:$AA,0)+11)+INDEX(AQ:AQ,MATCH(AQ52,$AA:$AA,0)+12)+INDEX(AQ:AQ,MATCH(AQ52,$AA:$AA,0)+13))</f>
        <v>115</v>
      </c>
      <c r="AR57" s="364"/>
      <c r="AS57" s="363">
        <f>ABS(INDEX(AS:AS,MATCH(AS52,$AA:$AA,0)+11)+INDEX(AS:AS,MATCH(AS52,$AA:$AA,0)+12)+INDEX(AS:AS,MATCH(AS52,$AA:$AA,0)+13))</f>
        <v>183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157</v>
      </c>
      <c r="E58" s="359" t="str">
        <f>IF(AD58=0,"",AD58)</f>
        <v/>
      </c>
      <c r="F58" s="359">
        <f>IF(AE58=301,"",AE58)</f>
        <v>184</v>
      </c>
      <c r="G58" s="359" t="str">
        <f>IF(AF58=0,"",AF58)</f>
        <v/>
      </c>
      <c r="H58" s="359">
        <f>IF(AG58=301,"",AG58)</f>
        <v>195</v>
      </c>
      <c r="I58" s="359" t="str">
        <f>IF(AH58=0,"",AH58)</f>
        <v/>
      </c>
      <c r="J58" s="359">
        <f>IF(AI58=301,"",AI58)</f>
        <v>206</v>
      </c>
      <c r="K58" s="359" t="str">
        <f>IF(AJ58=0,"",AJ58)</f>
        <v/>
      </c>
      <c r="L58" s="359">
        <f>IF(AK58=301,"",AK58)</f>
        <v>168</v>
      </c>
      <c r="M58" s="359" t="str">
        <f>IF(AL58=0,"",AL58)</f>
        <v/>
      </c>
      <c r="N58" s="359">
        <f>IF(AM58=301,"",AM58)</f>
        <v>175</v>
      </c>
      <c r="O58" s="359" t="str">
        <f>IF(AN58=0,"",AN58)</f>
        <v/>
      </c>
      <c r="P58" s="359">
        <f>IF(AO58=301,"",AO58)</f>
        <v>263</v>
      </c>
      <c r="Q58" s="359" t="str">
        <f>IF(AP58=0,"",AP58)</f>
        <v/>
      </c>
      <c r="R58" s="359">
        <f>IF(AQ58=301,"",AQ58)</f>
        <v>171</v>
      </c>
      <c r="S58" s="359" t="str">
        <f>IF(AR58=0,"",AR58)</f>
        <v/>
      </c>
      <c r="T58" s="359">
        <f>IF(AS58=301,"",AS58)</f>
        <v>213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157</v>
      </c>
      <c r="AD58" s="364"/>
      <c r="AE58" s="363">
        <f>ABS(INDEX(AE:AE,MATCH(AE52,$AA:$AA,0)+14)+INDEX(AE:AE,MATCH(AE52,$AA:$AA,0)+15)+INDEX(AE:AE,MATCH(AE52,$AA:$AA,0)+16))</f>
        <v>184</v>
      </c>
      <c r="AF58" s="364"/>
      <c r="AG58" s="363">
        <f>ABS(INDEX(AG:AG,MATCH(AG52,$AA:$AA,0)+14)+INDEX(AG:AG,MATCH(AG52,$AA:$AA,0)+15)+INDEX(AG:AG,MATCH(AG52,$AA:$AA,0)+16))</f>
        <v>195</v>
      </c>
      <c r="AH58" s="364"/>
      <c r="AI58" s="363">
        <f>ABS(INDEX(AI:AI,MATCH(AI52,$AA:$AA,0)+14)+INDEX(AI:AI,MATCH(AI52,$AA:$AA,0)+15)+INDEX(AI:AI,MATCH(AI52,$AA:$AA,0)+16))</f>
        <v>206</v>
      </c>
      <c r="AJ58" s="364"/>
      <c r="AK58" s="363">
        <f>ABS(INDEX(AK:AK,MATCH(AK52,$AA:$AA,0)+14)+INDEX(AK:AK,MATCH(AK52,$AA:$AA,0)+15)+INDEX(AK:AK,MATCH(AK52,$AA:$AA,0)+16))</f>
        <v>168</v>
      </c>
      <c r="AL58" s="364"/>
      <c r="AM58" s="363">
        <f>ABS(INDEX(AM:AM,MATCH(AM52,$AA:$AA,0)+14)+INDEX(AM:AM,MATCH(AM52,$AA:$AA,0)+15)+INDEX(AM:AM,MATCH(AM52,$AA:$AA,0)+16))</f>
        <v>175</v>
      </c>
      <c r="AN58" s="364"/>
      <c r="AO58" s="363">
        <f>ABS(INDEX(AO:AO,MATCH(AO52,$AA:$AA,0)+14)+INDEX(AO:AO,MATCH(AO52,$AA:$AA,0)+15)+INDEX(AO:AO,MATCH(AO52,$AA:$AA,0)+16))</f>
        <v>263</v>
      </c>
      <c r="AP58" s="364"/>
      <c r="AQ58" s="363">
        <f>ABS(INDEX(AQ:AQ,MATCH(AQ52,$AA:$AA,0)+14)+INDEX(AQ:AQ,MATCH(AQ52,$AA:$AA,0)+15)+INDEX(AQ:AQ,MATCH(AQ52,$AA:$AA,0)+16))</f>
        <v>171</v>
      </c>
      <c r="AR58" s="364"/>
      <c r="AS58" s="363">
        <f>ABS(INDEX(AS:AS,MATCH(AS52,$AA:$AA,0)+14)+INDEX(AS:AS,MATCH(AS52,$AA:$AA,0)+15)+INDEX(AS:AS,MATCH(AS52,$AA:$AA,0)+16))</f>
        <v>213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738</v>
      </c>
      <c r="E59" s="362" t="str">
        <f>IF(AD59=0,"",AD59)</f>
        <v/>
      </c>
      <c r="F59" s="362">
        <f>IF(AE59=1505,"",AE59)</f>
        <v>758</v>
      </c>
      <c r="G59" s="362" t="str">
        <f>IF(AF59=0,"",AF59)</f>
        <v/>
      </c>
      <c r="H59" s="362">
        <f>IF(AG59=1505,"",AG59)</f>
        <v>731</v>
      </c>
      <c r="I59" s="362" t="str">
        <f>IF(AH59=0,"",AH59)</f>
        <v/>
      </c>
      <c r="J59" s="362">
        <f>IF(AI59=1505,"",AI59)</f>
        <v>750</v>
      </c>
      <c r="K59" s="362" t="str">
        <f>IF(AJ59=0,"",AJ59)</f>
        <v/>
      </c>
      <c r="L59" s="362">
        <f>IF(AK59=1505,"",AK59)</f>
        <v>665</v>
      </c>
      <c r="M59" s="362" t="str">
        <f>IF(AL59=0,"",AL59)</f>
        <v/>
      </c>
      <c r="N59" s="362">
        <f>IF(AM59=1505,"",AM59)</f>
        <v>700</v>
      </c>
      <c r="O59" s="362" t="str">
        <f>IF(AN59=0,"",AN59)</f>
        <v/>
      </c>
      <c r="P59" s="362">
        <f>IF(AO59=1505,"",AO59)</f>
        <v>809</v>
      </c>
      <c r="Q59" s="362" t="str">
        <f>IF(AP59=0,"",AP59)</f>
        <v/>
      </c>
      <c r="R59" s="362">
        <f>IF(AQ59=1505,"",AQ59)</f>
        <v>596</v>
      </c>
      <c r="S59" s="362" t="str">
        <f>IF(AR59=0,"",AR59)</f>
        <v/>
      </c>
      <c r="T59" s="362">
        <f>IF(AS59=1505,"",AS59)</f>
        <v>722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738</v>
      </c>
      <c r="AD59" s="344"/>
      <c r="AE59" s="343">
        <f>SUM(AE55:AE58)</f>
        <v>758</v>
      </c>
      <c r="AF59" s="344"/>
      <c r="AG59" s="343">
        <f>SUM(AG55:AG58)</f>
        <v>731</v>
      </c>
      <c r="AH59" s="344"/>
      <c r="AI59" s="343">
        <f>SUM(AI55:AI58)</f>
        <v>750</v>
      </c>
      <c r="AJ59" s="344"/>
      <c r="AK59" s="343">
        <f>SUM(AK55:AK58)</f>
        <v>665</v>
      </c>
      <c r="AL59" s="344"/>
      <c r="AM59" s="343">
        <f>SUM(AM55:AM58)</f>
        <v>700</v>
      </c>
      <c r="AN59" s="344"/>
      <c r="AO59" s="343">
        <f>SUM(AO55:AO58)</f>
        <v>809</v>
      </c>
      <c r="AP59" s="344"/>
      <c r="AQ59" s="343">
        <f>SUM(AQ55:AQ58)</f>
        <v>596</v>
      </c>
      <c r="AR59" s="344"/>
      <c r="AS59" s="343">
        <f>SUM(AS55:AS58)</f>
        <v>722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02.11./03.11.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02.11./03.11.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Regensburg Super Bowl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69">IF(AE67=0,"",AE67)</f>
        <v>213</v>
      </c>
      <c r="G67" s="345">
        <f>IF(AF67="","",AF67)</f>
        <v>1</v>
      </c>
      <c r="H67" s="75">
        <f t="shared" ref="H67:H80" si="70">IF(AG67=0,"",AG67)</f>
        <v>190</v>
      </c>
      <c r="I67" s="345">
        <f>IF(AH67="","",AH67)</f>
        <v>0</v>
      </c>
      <c r="J67" s="75">
        <f t="shared" ref="J67:J80" si="71">IF(AI67=0,"",AI67)</f>
        <v>155</v>
      </c>
      <c r="K67" s="345">
        <f>IF(AJ67="","",AJ67)</f>
        <v>1</v>
      </c>
      <c r="L67" s="75">
        <f t="shared" ref="L67:L80" si="72">IF(AK67=0,"",AK67)</f>
        <v>178</v>
      </c>
      <c r="M67" s="345">
        <f>IF(AL67="","",AL67)</f>
        <v>0</v>
      </c>
      <c r="N67" s="75">
        <f>IF(AM67=0,"",AM67)</f>
        <v>178</v>
      </c>
      <c r="O67" s="345">
        <f>IF(AN67="","",AN67)</f>
        <v>0</v>
      </c>
      <c r="P67" s="75">
        <f t="shared" ref="P67:P80" si="73">IF(AO67=0,"",AO67)</f>
        <v>182</v>
      </c>
      <c r="Q67" s="345">
        <f>IF(AP67="","",AP67)</f>
        <v>0</v>
      </c>
      <c r="R67" s="75">
        <f t="shared" ref="R67:R80" si="74">IF(AQ67=0,"",AQ67)</f>
        <v>189</v>
      </c>
      <c r="S67" s="345">
        <f>IF(AR67="","",AR67)</f>
        <v>1</v>
      </c>
      <c r="T67" s="75">
        <f t="shared" ref="T67:T80" si="75">IF(AS67=0,"",AS67)</f>
        <v>223</v>
      </c>
      <c r="U67" s="345">
        <f>IF(AT67="","",AT67)</f>
        <v>1</v>
      </c>
      <c r="V67" s="75">
        <f t="shared" ref="V67:V80" si="76">IF(AU67=0,"",AU67)</f>
        <v>1699</v>
      </c>
      <c r="W67" s="345">
        <f>IF(AV67="","",AV67)</f>
        <v>5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3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5">
        <f>IF(AD70="","",AD70)</f>
        <v>1</v>
      </c>
      <c r="F70" s="75">
        <f t="shared" si="69"/>
        <v>213</v>
      </c>
      <c r="G70" s="345">
        <f>IF(AF70="","",AF70)</f>
        <v>1</v>
      </c>
      <c r="H70" s="75">
        <f t="shared" si="70"/>
        <v>189</v>
      </c>
      <c r="I70" s="345">
        <f>IF(AH70="","",AH70)</f>
        <v>1</v>
      </c>
      <c r="J70" s="75">
        <f t="shared" si="71"/>
        <v>162</v>
      </c>
      <c r="K70" s="345">
        <f>IF(AJ70="","",AJ70)</f>
        <v>1</v>
      </c>
      <c r="L70" s="75">
        <f t="shared" si="72"/>
        <v>157</v>
      </c>
      <c r="M70" s="345">
        <f>IF(AL70="","",AL70)</f>
        <v>1</v>
      </c>
      <c r="N70" s="75">
        <f t="shared" si="89"/>
        <v>158</v>
      </c>
      <c r="O70" s="345">
        <f>IF(AN70="","",AN70)</f>
        <v>1</v>
      </c>
      <c r="P70" s="75">
        <f t="shared" si="73"/>
        <v>189</v>
      </c>
      <c r="Q70" s="345">
        <f>IF(AP70="","",AP70)</f>
        <v>1</v>
      </c>
      <c r="R70" s="75">
        <f t="shared" si="74"/>
        <v>149</v>
      </c>
      <c r="S70" s="345">
        <f>IF(AR70="","",AR70)</f>
        <v>0</v>
      </c>
      <c r="T70" s="75">
        <f t="shared" si="75"/>
        <v>162</v>
      </c>
      <c r="U70" s="345">
        <f>IF(AT70="","",AT70)</f>
        <v>1</v>
      </c>
      <c r="V70" s="75">
        <f t="shared" si="76"/>
        <v>1558</v>
      </c>
      <c r="W70" s="345">
        <f>IF(AV70="","",AV70)</f>
        <v>8</v>
      </c>
      <c r="Z70" s="348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5">
        <f>IF(AD73="","",AD73)</f>
        <v>0</v>
      </c>
      <c r="F73" s="75">
        <f t="shared" si="69"/>
        <v>151</v>
      </c>
      <c r="G73" s="345">
        <f>IF(AF73="","",AF73)</f>
        <v>1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1</v>
      </c>
      <c r="L73" s="75" t="str">
        <f t="shared" si="72"/>
        <v/>
      </c>
      <c r="M73" s="345">
        <f>IF(AL73="","",AL73)</f>
        <v>1</v>
      </c>
      <c r="N73" s="75" t="str">
        <f t="shared" si="89"/>
        <v/>
      </c>
      <c r="O73" s="345">
        <f>IF(AN73="","",AN73)</f>
        <v>1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1</v>
      </c>
      <c r="T73" s="75" t="str">
        <f t="shared" si="75"/>
        <v/>
      </c>
      <c r="U73" s="345">
        <f>IF(AT73="","",AT73)</f>
        <v>0</v>
      </c>
      <c r="V73" s="75">
        <f t="shared" si="76"/>
        <v>299</v>
      </c>
      <c r="W73" s="345">
        <f>IF(AV73="","",AV73)</f>
        <v>5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4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6"/>
      <c r="F74" s="78" t="str">
        <f t="shared" si="69"/>
        <v/>
      </c>
      <c r="G74" s="346"/>
      <c r="H74" s="78">
        <f t="shared" si="70"/>
        <v>169</v>
      </c>
      <c r="I74" s="346"/>
      <c r="J74" s="78">
        <f t="shared" si="71"/>
        <v>172</v>
      </c>
      <c r="K74" s="346"/>
      <c r="L74" s="78">
        <f t="shared" si="72"/>
        <v>162</v>
      </c>
      <c r="M74" s="346"/>
      <c r="N74" s="78">
        <f t="shared" si="89"/>
        <v>176</v>
      </c>
      <c r="O74" s="346"/>
      <c r="P74" s="78">
        <f t="shared" si="73"/>
        <v>157</v>
      </c>
      <c r="Q74" s="346"/>
      <c r="R74" s="78">
        <f t="shared" si="74"/>
        <v>163</v>
      </c>
      <c r="S74" s="346"/>
      <c r="T74" s="78">
        <f t="shared" si="75"/>
        <v>159</v>
      </c>
      <c r="U74" s="346"/>
      <c r="V74" s="78">
        <f t="shared" si="76"/>
        <v>1158</v>
      </c>
      <c r="W74" s="346"/>
      <c r="Z74" s="349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5">
        <f>IF(AD76="","",AD76)</f>
        <v>0</v>
      </c>
      <c r="F76" s="75">
        <f t="shared" si="69"/>
        <v>181</v>
      </c>
      <c r="G76" s="345">
        <f>IF(AF76="","",AF76)</f>
        <v>0</v>
      </c>
      <c r="H76" s="75">
        <f t="shared" si="70"/>
        <v>141</v>
      </c>
      <c r="I76" s="345">
        <f>IF(AH76="","",AH76)</f>
        <v>0</v>
      </c>
      <c r="J76" s="75">
        <f t="shared" si="71"/>
        <v>191</v>
      </c>
      <c r="K76" s="345">
        <f>IF(AJ76="","",AJ76)</f>
        <v>1</v>
      </c>
      <c r="L76" s="75">
        <f t="shared" si="72"/>
        <v>168</v>
      </c>
      <c r="M76" s="345">
        <f>IF(AL76="","",AL76)</f>
        <v>0</v>
      </c>
      <c r="N76" s="75">
        <f t="shared" si="89"/>
        <v>157</v>
      </c>
      <c r="O76" s="345">
        <f>IF(AN76="","",AN76)</f>
        <v>0</v>
      </c>
      <c r="P76" s="75">
        <f t="shared" si="73"/>
        <v>168</v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1</v>
      </c>
      <c r="V76" s="75">
        <f t="shared" si="76"/>
        <v>1176</v>
      </c>
      <c r="W76" s="345">
        <f>IF(AV76="","",AV76)</f>
        <v>2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0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2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4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>
        <f t="shared" si="74"/>
        <v>171</v>
      </c>
      <c r="S77" s="346"/>
      <c r="T77" s="78">
        <f t="shared" si="75"/>
        <v>224</v>
      </c>
      <c r="U77" s="346"/>
      <c r="V77" s="78">
        <f t="shared" si="76"/>
        <v>395</v>
      </c>
      <c r="W77" s="346"/>
      <c r="Z77" s="349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28.006284999999998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7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8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si="100"/>
        <v>2</v>
      </c>
      <c r="M82" s="353" t="str">
        <f t="shared" si="100"/>
        <v/>
      </c>
      <c r="N82" s="353">
        <f t="shared" si="100"/>
        <v>9</v>
      </c>
      <c r="O82" s="353" t="str">
        <f t="shared" si="100"/>
        <v/>
      </c>
      <c r="P82" s="353">
        <f t="shared" si="100"/>
        <v>5</v>
      </c>
      <c r="Q82" s="353" t="str">
        <f t="shared" si="100"/>
        <v/>
      </c>
      <c r="R82" s="353">
        <f t="shared" ref="N82:U84" si="101">IF(AQ82=0,"",AQ82)</f>
        <v>10</v>
      </c>
      <c r="S82" s="353" t="str">
        <f t="shared" si="101"/>
        <v/>
      </c>
      <c r="T82" s="353">
        <f t="shared" si="101"/>
        <v>1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VLOOKUP($AA62,Schlüssel!$A$5:$DG$14,23)</f>
        <v>7</v>
      </c>
      <c r="AD82" s="368"/>
      <c r="AE82" s="367">
        <f>VLOOKUP($AA62,Schlüssel!$A$5:$EK$14,24)</f>
        <v>4</v>
      </c>
      <c r="AF82" s="368"/>
      <c r="AG82" s="367">
        <f>VLOOKUP($AA62,Schlüssel!$A$5:$EK$14,25)</f>
        <v>8</v>
      </c>
      <c r="AH82" s="368"/>
      <c r="AI82" s="367">
        <f>VLOOKUP($AA62,Schlüssel!$A$5:$EK$14,26)</f>
        <v>6</v>
      </c>
      <c r="AJ82" s="368"/>
      <c r="AK82" s="367">
        <f>VLOOKUP($AA62,Schlüssel!$A$5:$EK$14,27)</f>
        <v>2</v>
      </c>
      <c r="AL82" s="368"/>
      <c r="AM82" s="367">
        <f>VLOOKUP($AA62,Schlüssel!$A$5:$EK$14,28)</f>
        <v>9</v>
      </c>
      <c r="AN82" s="368"/>
      <c r="AO82" s="367">
        <f>VLOOKUP($AA62,Schlüssel!$A$5:$EK$14,29)</f>
        <v>5</v>
      </c>
      <c r="AP82" s="368"/>
      <c r="AQ82" s="367">
        <f>VLOOKUP($AA62,Schlüssel!$A$5:$EK$14,30)</f>
        <v>10</v>
      </c>
      <c r="AR82" s="368"/>
      <c r="AS82" s="367">
        <f>VLOOKUP($AA62,Schlüssel!$A$5:$EK$14,31)</f>
        <v>1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5" t="str">
        <f t="shared" si="102"/>
        <v>Frankenpower Nürnberg</v>
      </c>
      <c r="E83" s="356" t="str">
        <f t="shared" si="102"/>
        <v/>
      </c>
      <c r="F83" s="355" t="str">
        <f t="shared" si="102"/>
        <v>BK München 3</v>
      </c>
      <c r="G83" s="356" t="str">
        <f t="shared" si="102"/>
        <v/>
      </c>
      <c r="H83" s="355" t="str">
        <f t="shared" si="102"/>
        <v>EPA München 1</v>
      </c>
      <c r="I83" s="356" t="str">
        <f t="shared" si="102"/>
        <v/>
      </c>
      <c r="J83" s="355" t="str">
        <f t="shared" si="102"/>
        <v>Phönix 03 Lauf</v>
      </c>
      <c r="K83" s="356" t="str">
        <f t="shared" si="102"/>
        <v/>
      </c>
      <c r="L83" s="355" t="str">
        <f t="shared" si="102"/>
        <v>BK München 2</v>
      </c>
      <c r="M83" s="356" t="str">
        <f t="shared" si="102"/>
        <v/>
      </c>
      <c r="N83" s="355" t="str">
        <f t="shared" si="101"/>
        <v>RW Lichtenhof 69 Stein 2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4</v>
      </c>
      <c r="S83" s="356" t="str">
        <f t="shared" si="101"/>
        <v/>
      </c>
      <c r="T83" s="355" t="str">
        <f t="shared" si="101"/>
        <v>Praetoria Regensburg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Frankenpower Nürnberg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>EPA München 1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RW Lichtenhof 69 Stein 2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4</v>
      </c>
      <c r="AR83" s="356"/>
      <c r="AS83" s="355" t="str">
        <f>VLOOKUP(AS82,Schlüssel!$A$5:$K$14,2)</f>
        <v>Praetoria Regensburg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2"/>
        <v/>
      </c>
      <c r="M84" s="357" t="str">
        <f t="shared" si="102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165</v>
      </c>
      <c r="E85" s="359" t="str">
        <f>IF(AD85=0,"",AD85)</f>
        <v/>
      </c>
      <c r="F85" s="359">
        <f>IF(AE85=301,"",AE85)</f>
        <v>177</v>
      </c>
      <c r="G85" s="359" t="str">
        <f>IF(AF85=0,"",AF85)</f>
        <v/>
      </c>
      <c r="H85" s="359">
        <f>IF(AG85=301,"",AG85)</f>
        <v>212</v>
      </c>
      <c r="I85" s="359" t="str">
        <f>IF(AH85=0,"",AH85)</f>
        <v/>
      </c>
      <c r="J85" s="359">
        <f>IF(AI85=301,"",AI85)</f>
        <v>150</v>
      </c>
      <c r="K85" s="359" t="str">
        <f>IF(AJ85=0,"",AJ85)</f>
        <v/>
      </c>
      <c r="L85" s="359">
        <f>IF(AK85=301,"",AK85)</f>
        <v>202</v>
      </c>
      <c r="M85" s="359" t="str">
        <f>IF(AL85=0,"",AL85)</f>
        <v/>
      </c>
      <c r="N85" s="359">
        <f>IF(AM85=301,"",AM85)</f>
        <v>179</v>
      </c>
      <c r="O85" s="359" t="str">
        <f>IF(AN85=0,"",AN85)</f>
        <v/>
      </c>
      <c r="P85" s="359">
        <f>IF(AO85=301,"",AO85)</f>
        <v>204</v>
      </c>
      <c r="Q85" s="359" t="str">
        <f>IF(AP85=0,"",AP85)</f>
        <v/>
      </c>
      <c r="R85" s="359">
        <f>IF(AQ85=301,"",AQ85)</f>
        <v>158</v>
      </c>
      <c r="S85" s="359" t="str">
        <f>IF(AR85=0,"",AR85)</f>
        <v/>
      </c>
      <c r="T85" s="359">
        <f>IF(AS85=301,"",AS85)</f>
        <v>143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165</v>
      </c>
      <c r="AD85" s="366"/>
      <c r="AE85" s="365">
        <f>ABS(INDEX(AE:AE,MATCH(AE82,$AA:$AA,0)+5)+INDEX(AE:AE,MATCH(AE82,$AA:$AA,0)+6)+INDEX(AE:AE,MATCH(AE82,$AA:$AA,0)+7))</f>
        <v>177</v>
      </c>
      <c r="AF85" s="366"/>
      <c r="AG85" s="365">
        <f>ABS(INDEX(AG:AG,MATCH(AG82,$AA:$AA,0)+5)+INDEX(AG:AG,MATCH(AG82,$AA:$AA,0)+6)+INDEX(AG:AG,MATCH(AG82,$AA:$AA,0)+7))</f>
        <v>212</v>
      </c>
      <c r="AH85" s="366"/>
      <c r="AI85" s="365">
        <f>ABS(INDEX(AI:AI,MATCH(AI82,$AA:$AA,0)+5)+INDEX(AI:AI,MATCH(AI82,$AA:$AA,0)+6)+INDEX(AI:AI,MATCH(AI82,$AA:$AA,0)+7))</f>
        <v>150</v>
      </c>
      <c r="AJ85" s="366"/>
      <c r="AK85" s="365">
        <f>ABS(INDEX(AK:AK,MATCH(AK82,$AA:$AA,0)+5)+INDEX(AK:AK,MATCH(AK82,$AA:$AA,0)+6)+INDEX(AK:AK,MATCH(AK82,$AA:$AA,0)+7))</f>
        <v>202</v>
      </c>
      <c r="AL85" s="366"/>
      <c r="AM85" s="365">
        <f>ABS(INDEX(AM:AM,MATCH(AM82,$AA:$AA,0)+5)+INDEX(AM:AM,MATCH(AM82,$AA:$AA,0)+6)+INDEX(AM:AM,MATCH(AM82,$AA:$AA,0)+7))</f>
        <v>179</v>
      </c>
      <c r="AN85" s="366"/>
      <c r="AO85" s="365">
        <f>ABS(INDEX(AO:AO,MATCH(AO82,$AA:$AA,0)+5)+INDEX(AO:AO,MATCH(AO82,$AA:$AA,0)+6)+INDEX(AO:AO,MATCH(AO82,$AA:$AA,0)+7))</f>
        <v>204</v>
      </c>
      <c r="AP85" s="366"/>
      <c r="AQ85" s="365">
        <f>ABS(INDEX(AQ:AQ,MATCH(AQ82,$AA:$AA,0)+5)+INDEX(AQ:AQ,MATCH(AQ82,$AA:$AA,0)+6)+INDEX(AQ:AQ,MATCH(AQ82,$AA:$AA,0)+7))</f>
        <v>158</v>
      </c>
      <c r="AR85" s="366"/>
      <c r="AS85" s="365">
        <f>ABS(INDEX(AS:AS,MATCH(AS82,$AA:$AA,0)+5)+INDEX(AS:AS,MATCH(AS82,$AA:$AA,0)+6)+INDEX(AS:AS,MATCH(AS82,$AA:$AA,0)+7))</f>
        <v>143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157</v>
      </c>
      <c r="E86" s="359" t="str">
        <f>IF(AD86=0,"",AD86)</f>
        <v/>
      </c>
      <c r="F86" s="359">
        <f>IF(AE86=301,"",AE86)</f>
        <v>144</v>
      </c>
      <c r="G86" s="359" t="str">
        <f>IF(AF86=0,"",AF86)</f>
        <v/>
      </c>
      <c r="H86" s="359">
        <f>IF(AG86=301,"",AG86)</f>
        <v>186</v>
      </c>
      <c r="I86" s="359" t="str">
        <f>IF(AH86=0,"",AH86)</f>
        <v/>
      </c>
      <c r="J86" s="359">
        <f>IF(AI86=301,"",AI86)</f>
        <v>160</v>
      </c>
      <c r="K86" s="359" t="str">
        <f>IF(AJ86=0,"",AJ86)</f>
        <v/>
      </c>
      <c r="L86" s="359">
        <f>IF(AK86=301,"",AK86)</f>
        <v>143</v>
      </c>
      <c r="M86" s="359" t="str">
        <f>IF(AL86=0,"",AL86)</f>
        <v/>
      </c>
      <c r="N86" s="359">
        <f>IF(AM86=301,"",AM86)</f>
        <v>151</v>
      </c>
      <c r="O86" s="359" t="str">
        <f>IF(AN86=0,"",AN86)</f>
        <v/>
      </c>
      <c r="P86" s="359">
        <f>IF(AO86=301,"",AO86)</f>
        <v>186</v>
      </c>
      <c r="Q86" s="359" t="str">
        <f>IF(AP86=0,"",AP86)</f>
        <v/>
      </c>
      <c r="R86" s="359">
        <f>IF(AQ86=301,"",AQ86)</f>
        <v>185</v>
      </c>
      <c r="S86" s="359" t="str">
        <f>IF(AR86=0,"",AR86)</f>
        <v/>
      </c>
      <c r="T86" s="359">
        <f>IF(AS86=301,"",AS86)</f>
        <v>137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157</v>
      </c>
      <c r="AD86" s="364"/>
      <c r="AE86" s="363">
        <f>ABS(INDEX(AE:AE,MATCH(AE82,$AA:$AA,0)+8)+INDEX(AE:AE,MATCH(AE82,$AA:$AA,0)+9)+INDEX(AE:AE,MATCH(AE82,$AA:$AA,0)+10))</f>
        <v>144</v>
      </c>
      <c r="AF86" s="364"/>
      <c r="AG86" s="363">
        <f>ABS(INDEX(AG:AG,MATCH(AG82,$AA:$AA,0)+8)+INDEX(AG:AG,MATCH(AG82,$AA:$AA,0)+9)+INDEX(AG:AG,MATCH(AG82,$AA:$AA,0)+10))</f>
        <v>186</v>
      </c>
      <c r="AH86" s="364"/>
      <c r="AI86" s="363">
        <f>ABS(INDEX(AI:AI,MATCH(AI82,$AA:$AA,0)+8)+INDEX(AI:AI,MATCH(AI82,$AA:$AA,0)+9)+INDEX(AI:AI,MATCH(AI82,$AA:$AA,0)+10))</f>
        <v>160</v>
      </c>
      <c r="AJ86" s="364"/>
      <c r="AK86" s="363">
        <f>ABS(INDEX(AK:AK,MATCH(AK82,$AA:$AA,0)+8)+INDEX(AK:AK,MATCH(AK82,$AA:$AA,0)+9)+INDEX(AK:AK,MATCH(AK82,$AA:$AA,0)+10))</f>
        <v>143</v>
      </c>
      <c r="AL86" s="364"/>
      <c r="AM86" s="363">
        <f>ABS(INDEX(AM:AM,MATCH(AM82,$AA:$AA,0)+8)+INDEX(AM:AM,MATCH(AM82,$AA:$AA,0)+9)+INDEX(AM:AM,MATCH(AM82,$AA:$AA,0)+10))</f>
        <v>151</v>
      </c>
      <c r="AN86" s="364"/>
      <c r="AO86" s="363">
        <f>ABS(INDEX(AO:AO,MATCH(AO82,$AA:$AA,0)+8)+INDEX(AO:AO,MATCH(AO82,$AA:$AA,0)+9)+INDEX(AO:AO,MATCH(AO82,$AA:$AA,0)+10))</f>
        <v>186</v>
      </c>
      <c r="AP86" s="364"/>
      <c r="AQ86" s="363">
        <f>ABS(INDEX(AQ:AQ,MATCH(AQ82,$AA:$AA,0)+8)+INDEX(AQ:AQ,MATCH(AQ82,$AA:$AA,0)+9)+INDEX(AQ:AQ,MATCH(AQ82,$AA:$AA,0)+10))</f>
        <v>185</v>
      </c>
      <c r="AR86" s="364"/>
      <c r="AS86" s="363">
        <f>ABS(INDEX(AS:AS,MATCH(AS82,$AA:$AA,0)+8)+INDEX(AS:AS,MATCH(AS82,$AA:$AA,0)+9)+INDEX(AS:AS,MATCH(AS82,$AA:$AA,0)+10))</f>
        <v>137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181</v>
      </c>
      <c r="E87" s="359" t="str">
        <f>IF(AD87=0,"",AD87)</f>
        <v/>
      </c>
      <c r="F87" s="359">
        <f>IF(AE87=301,"",AE87)</f>
        <v>144</v>
      </c>
      <c r="G87" s="359" t="str">
        <f>IF(AF87=0,"",AF87)</f>
        <v/>
      </c>
      <c r="H87" s="359">
        <f>IF(AG87=301,"",AG87)</f>
        <v>197</v>
      </c>
      <c r="I87" s="359" t="str">
        <f>IF(AH87=0,"",AH87)</f>
        <v/>
      </c>
      <c r="J87" s="359">
        <f>IF(AI87=301,"",AI87)</f>
        <v>152</v>
      </c>
      <c r="K87" s="359" t="str">
        <f>IF(AJ87=0,"",AJ87)</f>
        <v/>
      </c>
      <c r="L87" s="359">
        <f>IF(AK87=301,"",AK87)</f>
        <v>153</v>
      </c>
      <c r="M87" s="359" t="str">
        <f>IF(AL87=0,"",AL87)</f>
        <v/>
      </c>
      <c r="N87" s="359">
        <f>IF(AM87=301,"",AM87)</f>
        <v>170</v>
      </c>
      <c r="O87" s="359" t="str">
        <f>IF(AN87=0,"",AN87)</f>
        <v/>
      </c>
      <c r="P87" s="359">
        <f>IF(AO87=301,"",AO87)</f>
        <v>158</v>
      </c>
      <c r="Q87" s="359" t="str">
        <f>IF(AP87=0,"",AP87)</f>
        <v/>
      </c>
      <c r="R87" s="359">
        <f>IF(AQ87=301,"",AQ87)</f>
        <v>158</v>
      </c>
      <c r="S87" s="359" t="str">
        <f>IF(AR87=0,"",AR87)</f>
        <v/>
      </c>
      <c r="T87" s="359">
        <f>IF(AS87=301,"",AS87)</f>
        <v>224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181</v>
      </c>
      <c r="AD87" s="364"/>
      <c r="AE87" s="363">
        <f>ABS(INDEX(AE:AE,MATCH(AE82,$AA:$AA,0)+11)+INDEX(AE:AE,MATCH(AE82,$AA:$AA,0)+12)+INDEX(AE:AE,MATCH(AE82,$AA:$AA,0)+13))</f>
        <v>144</v>
      </c>
      <c r="AF87" s="364"/>
      <c r="AG87" s="363">
        <f>ABS(INDEX(AG:AG,MATCH(AG82,$AA:$AA,0)+11)+INDEX(AG:AG,MATCH(AG82,$AA:$AA,0)+12)+INDEX(AG:AG,MATCH(AG82,$AA:$AA,0)+13))</f>
        <v>197</v>
      </c>
      <c r="AH87" s="364"/>
      <c r="AI87" s="363">
        <f>ABS(INDEX(AI:AI,MATCH(AI82,$AA:$AA,0)+11)+INDEX(AI:AI,MATCH(AI82,$AA:$AA,0)+12)+INDEX(AI:AI,MATCH(AI82,$AA:$AA,0)+13))</f>
        <v>152</v>
      </c>
      <c r="AJ87" s="364"/>
      <c r="AK87" s="363">
        <f>ABS(INDEX(AK:AK,MATCH(AK82,$AA:$AA,0)+11)+INDEX(AK:AK,MATCH(AK82,$AA:$AA,0)+12)+INDEX(AK:AK,MATCH(AK82,$AA:$AA,0)+13))</f>
        <v>153</v>
      </c>
      <c r="AL87" s="364"/>
      <c r="AM87" s="363">
        <f>ABS(INDEX(AM:AM,MATCH(AM82,$AA:$AA,0)+11)+INDEX(AM:AM,MATCH(AM82,$AA:$AA,0)+12)+INDEX(AM:AM,MATCH(AM82,$AA:$AA,0)+13))</f>
        <v>170</v>
      </c>
      <c r="AN87" s="364"/>
      <c r="AO87" s="363">
        <f>ABS(INDEX(AO:AO,MATCH(AO82,$AA:$AA,0)+11)+INDEX(AO:AO,MATCH(AO82,$AA:$AA,0)+12)+INDEX(AO:AO,MATCH(AO82,$AA:$AA,0)+13))</f>
        <v>158</v>
      </c>
      <c r="AP87" s="364"/>
      <c r="AQ87" s="363">
        <f>ABS(INDEX(AQ:AQ,MATCH(AQ82,$AA:$AA,0)+11)+INDEX(AQ:AQ,MATCH(AQ82,$AA:$AA,0)+12)+INDEX(AQ:AQ,MATCH(AQ82,$AA:$AA,0)+13))</f>
        <v>158</v>
      </c>
      <c r="AR87" s="364"/>
      <c r="AS87" s="363">
        <f>ABS(INDEX(AS:AS,MATCH(AS82,$AA:$AA,0)+11)+INDEX(AS:AS,MATCH(AS82,$AA:$AA,0)+12)+INDEX(AS:AS,MATCH(AS82,$AA:$AA,0)+13))</f>
        <v>224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181</v>
      </c>
      <c r="E88" s="359" t="str">
        <f>IF(AD88=0,"",AD88)</f>
        <v/>
      </c>
      <c r="F88" s="359">
        <f>IF(AE88=301,"",AE88)</f>
        <v>188</v>
      </c>
      <c r="G88" s="359" t="str">
        <f>IF(AF88=0,"",AF88)</f>
        <v/>
      </c>
      <c r="H88" s="359">
        <f>IF(AG88=301,"",AG88)</f>
        <v>172</v>
      </c>
      <c r="I88" s="359" t="str">
        <f>IF(AH88=0,"",AH88)</f>
        <v/>
      </c>
      <c r="J88" s="359">
        <f>IF(AI88=301,"",AI88)</f>
        <v>186</v>
      </c>
      <c r="K88" s="359" t="str">
        <f>IF(AJ88=0,"",AJ88)</f>
        <v/>
      </c>
      <c r="L88" s="359">
        <f>IF(AK88=301,"",AK88)</f>
        <v>202</v>
      </c>
      <c r="M88" s="359" t="str">
        <f>IF(AL88=0,"",AL88)</f>
        <v/>
      </c>
      <c r="N88" s="359">
        <f>IF(AM88=301,"",AM88)</f>
        <v>180</v>
      </c>
      <c r="O88" s="359" t="str">
        <f>IF(AN88=0,"",AN88)</f>
        <v/>
      </c>
      <c r="P88" s="359">
        <f>IF(AO88=301,"",AO88)</f>
        <v>177</v>
      </c>
      <c r="Q88" s="359" t="str">
        <f>IF(AP88=0,"",AP88)</f>
        <v/>
      </c>
      <c r="R88" s="359">
        <f>IF(AQ88=301,"",AQ88)</f>
        <v>183</v>
      </c>
      <c r="S88" s="359" t="str">
        <f>IF(AR88=0,"",AR88)</f>
        <v/>
      </c>
      <c r="T88" s="359">
        <f>IF(AS88=301,"",AS88)</f>
        <v>184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181</v>
      </c>
      <c r="AD88" s="364"/>
      <c r="AE88" s="363">
        <f>ABS(INDEX(AE:AE,MATCH(AE82,$AA:$AA,0)+14)+INDEX(AE:AE,MATCH(AE82,$AA:$AA,0)+15)+INDEX(AE:AE,MATCH(AE82,$AA:$AA,0)+16))</f>
        <v>188</v>
      </c>
      <c r="AF88" s="364"/>
      <c r="AG88" s="363">
        <f>ABS(INDEX(AG:AG,MATCH(AG82,$AA:$AA,0)+14)+INDEX(AG:AG,MATCH(AG82,$AA:$AA,0)+15)+INDEX(AG:AG,MATCH(AG82,$AA:$AA,0)+16))</f>
        <v>172</v>
      </c>
      <c r="AH88" s="364"/>
      <c r="AI88" s="363">
        <f>ABS(INDEX(AI:AI,MATCH(AI82,$AA:$AA,0)+14)+INDEX(AI:AI,MATCH(AI82,$AA:$AA,0)+15)+INDEX(AI:AI,MATCH(AI82,$AA:$AA,0)+16))</f>
        <v>186</v>
      </c>
      <c r="AJ88" s="364"/>
      <c r="AK88" s="363">
        <f>ABS(INDEX(AK:AK,MATCH(AK82,$AA:$AA,0)+14)+INDEX(AK:AK,MATCH(AK82,$AA:$AA,0)+15)+INDEX(AK:AK,MATCH(AK82,$AA:$AA,0)+16))</f>
        <v>202</v>
      </c>
      <c r="AL88" s="364"/>
      <c r="AM88" s="363">
        <f>ABS(INDEX(AM:AM,MATCH(AM82,$AA:$AA,0)+14)+INDEX(AM:AM,MATCH(AM82,$AA:$AA,0)+15)+INDEX(AM:AM,MATCH(AM82,$AA:$AA,0)+16))</f>
        <v>180</v>
      </c>
      <c r="AN88" s="364"/>
      <c r="AO88" s="363">
        <f>ABS(INDEX(AO:AO,MATCH(AO82,$AA:$AA,0)+14)+INDEX(AO:AO,MATCH(AO82,$AA:$AA,0)+15)+INDEX(AO:AO,MATCH(AO82,$AA:$AA,0)+16))</f>
        <v>177</v>
      </c>
      <c r="AP88" s="364"/>
      <c r="AQ88" s="363">
        <f>ABS(INDEX(AQ:AQ,MATCH(AQ82,$AA:$AA,0)+14)+INDEX(AQ:AQ,MATCH(AQ82,$AA:$AA,0)+15)+INDEX(AQ:AQ,MATCH(AQ82,$AA:$AA,0)+16))</f>
        <v>183</v>
      </c>
      <c r="AR88" s="364"/>
      <c r="AS88" s="363">
        <f>ABS(INDEX(AS:AS,MATCH(AS82,$AA:$AA,0)+14)+INDEX(AS:AS,MATCH(AS82,$AA:$AA,0)+15)+INDEX(AS:AS,MATCH(AS82,$AA:$AA,0)+16))</f>
        <v>184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684</v>
      </c>
      <c r="E89" s="362" t="str">
        <f>IF(AD89=0,"",AD89)</f>
        <v/>
      </c>
      <c r="F89" s="362">
        <f>IF(AE89=1505,"",AE89)</f>
        <v>653</v>
      </c>
      <c r="G89" s="362" t="str">
        <f>IF(AF89=0,"",AF89)</f>
        <v/>
      </c>
      <c r="H89" s="362">
        <f>IF(AG89=1505,"",AG89)</f>
        <v>767</v>
      </c>
      <c r="I89" s="362" t="str">
        <f>IF(AH89=0,"",AH89)</f>
        <v/>
      </c>
      <c r="J89" s="362">
        <f>IF(AI89=1505,"",AI89)</f>
        <v>648</v>
      </c>
      <c r="K89" s="362" t="str">
        <f>IF(AJ89=0,"",AJ89)</f>
        <v/>
      </c>
      <c r="L89" s="362">
        <f>IF(AK89=1505,"",AK89)</f>
        <v>700</v>
      </c>
      <c r="M89" s="362" t="str">
        <f>IF(AL89=0,"",AL89)</f>
        <v/>
      </c>
      <c r="N89" s="362">
        <f>IF(AM89=1505,"",AM89)</f>
        <v>680</v>
      </c>
      <c r="O89" s="362" t="str">
        <f>IF(AN89=0,"",AN89)</f>
        <v/>
      </c>
      <c r="P89" s="362">
        <f>IF(AO89=1505,"",AO89)</f>
        <v>725</v>
      </c>
      <c r="Q89" s="362" t="str">
        <f>IF(AP89=0,"",AP89)</f>
        <v/>
      </c>
      <c r="R89" s="362">
        <f>IF(AQ89=1505,"",AQ89)</f>
        <v>684</v>
      </c>
      <c r="S89" s="362" t="str">
        <f>IF(AR89=0,"",AR89)</f>
        <v/>
      </c>
      <c r="T89" s="362">
        <f>IF(AS89=1505,"",AS89)</f>
        <v>688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684</v>
      </c>
      <c r="AD89" s="344"/>
      <c r="AE89" s="343">
        <f>SUM(AE85:AE88)</f>
        <v>653</v>
      </c>
      <c r="AF89" s="344"/>
      <c r="AG89" s="343">
        <f>SUM(AG85:AG88)</f>
        <v>767</v>
      </c>
      <c r="AH89" s="344"/>
      <c r="AI89" s="343">
        <f>SUM(AI85:AI88)</f>
        <v>648</v>
      </c>
      <c r="AJ89" s="344"/>
      <c r="AK89" s="343">
        <f>SUM(AK85:AK88)</f>
        <v>700</v>
      </c>
      <c r="AL89" s="344"/>
      <c r="AM89" s="343">
        <f>SUM(AM85:AM88)</f>
        <v>680</v>
      </c>
      <c r="AN89" s="344"/>
      <c r="AO89" s="343">
        <f>SUM(AO85:AO88)</f>
        <v>725</v>
      </c>
      <c r="AP89" s="344"/>
      <c r="AQ89" s="343">
        <f>SUM(AQ85:AQ88)</f>
        <v>684</v>
      </c>
      <c r="AR89" s="344"/>
      <c r="AS89" s="343">
        <f>SUM(AS85:AS88)</f>
        <v>688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02.11./03.11.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02.11./03.11.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Regensburg Super Bowl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>
        <f>IF(AC97=0,"",AC97)</f>
        <v>168</v>
      </c>
      <c r="E97" s="345">
        <f>IF(AD97="","",AD97)</f>
        <v>0</v>
      </c>
      <c r="F97" s="75">
        <f t="shared" ref="F97:F110" si="104">IF(AE97=0,"",AE97)</f>
        <v>177</v>
      </c>
      <c r="G97" s="345">
        <f>IF(AF97="","",AF97)</f>
        <v>0</v>
      </c>
      <c r="H97" s="75">
        <f t="shared" ref="H97:H110" si="105">IF(AG97=0,"",AG97)</f>
        <v>160</v>
      </c>
      <c r="I97" s="345">
        <f>IF(AH97="","",AH97)</f>
        <v>0</v>
      </c>
      <c r="J97" s="75">
        <f t="shared" ref="J97:J110" si="106">IF(AI97=0,"",AI97)</f>
        <v>191</v>
      </c>
      <c r="K97" s="345">
        <f>IF(AJ97="","",AJ97)</f>
        <v>0</v>
      </c>
      <c r="L97" s="75">
        <f t="shared" ref="L97:L110" si="107">IF(AK97=0,"",AK97)</f>
        <v>180</v>
      </c>
      <c r="M97" s="345">
        <f>IF(AL97="","",AL97)</f>
        <v>1</v>
      </c>
      <c r="N97" s="75">
        <f>IF(AM97=0,"",AM97)</f>
        <v>146</v>
      </c>
      <c r="O97" s="345">
        <f>IF(AN97="","",AN97)</f>
        <v>0</v>
      </c>
      <c r="P97" s="75">
        <f t="shared" ref="P97:P110" si="108">IF(AO97=0,"",AO97)</f>
        <v>147</v>
      </c>
      <c r="Q97" s="345">
        <f>IF(AP97="","",AP97)</f>
        <v>0</v>
      </c>
      <c r="R97" s="75">
        <f t="shared" ref="R97:R110" si="109">IF(AQ97=0,"",AQ97)</f>
        <v>183</v>
      </c>
      <c r="S97" s="345">
        <f>IF(AR97="","",AR97)</f>
        <v>0</v>
      </c>
      <c r="T97" s="75">
        <f t="shared" ref="T97:T110" si="110">IF(AS97=0,"",AS97)</f>
        <v>167</v>
      </c>
      <c r="U97" s="345">
        <f>IF(AT97="","",AT97)</f>
        <v>0</v>
      </c>
      <c r="V97" s="75">
        <f t="shared" ref="V97:V110" si="111">IF(AU97=0,"",AU97)</f>
        <v>1519</v>
      </c>
      <c r="W97" s="345">
        <f>IF(AV97="","",AV97)</f>
        <v>1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>
        <v>168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>
        <v>160</v>
      </c>
      <c r="AH97" s="109">
        <f>IF(SUM(AG97:AG99)+AG115=0,0,IF(SUM(AG97:AG99)=AG115,0.5,IF(SUM(AG97:AG99)&gt;AG115,1,0)))</f>
        <v>0</v>
      </c>
      <c r="AI97" s="185">
        <v>191</v>
      </c>
      <c r="AJ97" s="109">
        <f>IF(SUM(AI97:AI99)+AI115=0,0,IF(SUM(AI97:AI99)=AI115,0.5,IF(SUM(AI97:AI99)&gt;AI115,1,0)))</f>
        <v>0</v>
      </c>
      <c r="AK97" s="185">
        <v>180</v>
      </c>
      <c r="AL97" s="109">
        <f>IF(SUM(AK97:AK99)+AK115=0,0,IF(SUM(AK97:AK99)=AK115,0.5,IF(SUM(AK97:AK99)&gt;AK115,1,0)))</f>
        <v>1</v>
      </c>
      <c r="AM97" s="185">
        <v>146</v>
      </c>
      <c r="AN97" s="109">
        <f>IF(SUM(AM97:AM99)+AM115=0,0,IF(SUM(AM97:AM99)=AM115,0.5,IF(SUM(AM97:AM99)&gt;AM115,1,0)))</f>
        <v>0</v>
      </c>
      <c r="AO97" s="185">
        <v>147</v>
      </c>
      <c r="AP97" s="109">
        <f>IF(SUM(AO97:AO99)+AO115=0,0,IF(SUM(AO97:AO99)=AO115,0.5,IF(SUM(AO97:AO99)&gt;AO115,1,0)))</f>
        <v>0</v>
      </c>
      <c r="AQ97" s="185">
        <v>183</v>
      </c>
      <c r="AR97" s="109">
        <f>IF(SUM(AQ97:AQ99)+AQ115=0,0,IF(SUM(AQ97:AQ99)=AQ115,0.5,IF(SUM(AQ97:AQ99)&gt;AQ115,1,0)))</f>
        <v>0</v>
      </c>
      <c r="AS97" s="185">
        <v>167</v>
      </c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1519</v>
      </c>
      <c r="AV97" s="111">
        <f>SUM(AD97+AF97+AH97+AJ97+AL97+AN97+AP97+AR97+AT97)</f>
        <v>1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1519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168</v>
      </c>
      <c r="BI97" s="215">
        <f t="shared" ref="BI97:BI108" si="114">IF(AE97=0,"",AE97)</f>
        <v>177</v>
      </c>
      <c r="BJ97" s="215">
        <f t="shared" ref="BJ97:BJ108" si="115">IF(AG97=0,"",AG97)</f>
        <v>160</v>
      </c>
      <c r="BK97" s="215">
        <f t="shared" ref="BK97:BK108" si="116">IF(AI97=0,"",AI97)</f>
        <v>191</v>
      </c>
      <c r="BL97" s="215">
        <f t="shared" ref="BL97:BL108" si="117">IF(AK97=0,"",AK97)</f>
        <v>180</v>
      </c>
      <c r="BM97" s="215">
        <f t="shared" ref="BM97:BM108" si="118">IF(AM97=0,"",AM97)</f>
        <v>146</v>
      </c>
      <c r="BN97" s="215">
        <f t="shared" ref="BN97:BN108" si="119">IF(AO97=0,"",AO97)</f>
        <v>147</v>
      </c>
      <c r="BO97" s="215">
        <f t="shared" ref="BO97:BO108" si="120">IF(AQ97=0,"",AQ97)</f>
        <v>183</v>
      </c>
      <c r="BP97" s="215">
        <f t="shared" ref="BP97:BP108" si="121">IF(AS97=0,"",AS97)</f>
        <v>167</v>
      </c>
      <c r="BQ97" s="216"/>
      <c r="BR97" s="214"/>
      <c r="BS97" s="215">
        <f>MAX(BH97:BP97)</f>
        <v>191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1519</v>
      </c>
      <c r="BX97" s="215">
        <f>IF(COUNTIF(BH97:BP97,"&gt;0")&lt;Spielorte!$A$23,0,BE97/Spielorte!$A$23)</f>
        <v>168.77777777777777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3" t="s">
        <v>2</v>
      </c>
      <c r="B100" s="73" t="str">
        <f t="shared" si="123"/>
        <v>Strahl, Pakwipa</v>
      </c>
      <c r="C100" s="74">
        <f t="shared" si="123"/>
        <v>7991</v>
      </c>
      <c r="D100" s="75">
        <f t="shared" si="123"/>
        <v>142</v>
      </c>
      <c r="E100" s="345">
        <f>IF(AD100="","",AD100)</f>
        <v>0</v>
      </c>
      <c r="F100" s="75">
        <f t="shared" si="104"/>
        <v>144</v>
      </c>
      <c r="G100" s="345">
        <f>IF(AF100="","",AF100)</f>
        <v>0</v>
      </c>
      <c r="H100" s="75" t="str">
        <f t="shared" si="105"/>
        <v/>
      </c>
      <c r="I100" s="345">
        <f>IF(AH100="","",AH100)</f>
        <v>1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1</v>
      </c>
      <c r="N100" s="75" t="str">
        <f t="shared" si="124"/>
        <v/>
      </c>
      <c r="O100" s="345">
        <f>IF(AN100="","",AN100)</f>
        <v>1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>
        <f t="shared" si="110"/>
        <v>147</v>
      </c>
      <c r="U100" s="345">
        <f>IF(AT100="","",AT100)</f>
        <v>0</v>
      </c>
      <c r="V100" s="75">
        <f t="shared" si="111"/>
        <v>433</v>
      </c>
      <c r="W100" s="345">
        <f>IF(AV100="","",AV100)</f>
        <v>3</v>
      </c>
      <c r="Z100" s="348" t="s">
        <v>2</v>
      </c>
      <c r="AA100" s="108" t="str">
        <f>IF(AB100=0,"",VLOOKUP(AB100,Starter!$A$1:$D$199,2,FALSE))</f>
        <v>Strahl, Pakwipa</v>
      </c>
      <c r="AB100" s="99">
        <v>7991</v>
      </c>
      <c r="AC100" s="188">
        <v>142</v>
      </c>
      <c r="AD100" s="109">
        <f>IF(SUM(AC100:AC102)+AC116=0,0,IF(SUM(AC100:AC102)=AC116,0.5,IF(SUM(AC100:AC102)&gt;AC116,1,0)))</f>
        <v>0</v>
      </c>
      <c r="AE100" s="188">
        <v>144</v>
      </c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1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1</v>
      </c>
      <c r="AM100" s="188"/>
      <c r="AN100" s="109">
        <f>IF(SUM(AM100:AM102)+AM116=0,0,IF(SUM(AM100:AM102)=AM116,0.5,IF(SUM(AM100:AM102)&gt;AM116,1,0)))</f>
        <v>1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>
        <v>147</v>
      </c>
      <c r="AT100" s="109">
        <f>IF(SUM(AS100:AS102)+AS116=0,0,IF(SUM(AS100:AS102)=AS116,0.5,IF(SUM(AS100:AS102)&gt;AS116,1,0)))</f>
        <v>0</v>
      </c>
      <c r="AU100" s="110">
        <f t="shared" si="112"/>
        <v>433</v>
      </c>
      <c r="AV100" s="111">
        <f>SUM(AD100+AF100+AH100+AJ100+AL100+AN100+AP100+AR100+AT100)</f>
        <v>3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433</v>
      </c>
      <c r="BF100" s="215">
        <f t="shared" si="127"/>
        <v>3</v>
      </c>
      <c r="BG100" s="215">
        <f t="shared" si="128"/>
        <v>3</v>
      </c>
      <c r="BH100" s="215">
        <f t="shared" si="113"/>
        <v>142</v>
      </c>
      <c r="BI100" s="215">
        <f t="shared" si="114"/>
        <v>144</v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>
        <f t="shared" si="121"/>
        <v>147</v>
      </c>
      <c r="BQ100" s="216"/>
      <c r="BR100" s="214"/>
      <c r="BS100" s="215">
        <f t="shared" si="129"/>
        <v>147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433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4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6"/>
      <c r="F101" s="78" t="str">
        <f t="shared" si="104"/>
        <v/>
      </c>
      <c r="G101" s="346"/>
      <c r="H101" s="78">
        <f t="shared" si="105"/>
        <v>193</v>
      </c>
      <c r="I101" s="346"/>
      <c r="J101" s="78">
        <f t="shared" si="106"/>
        <v>163</v>
      </c>
      <c r="K101" s="346"/>
      <c r="L101" s="78">
        <f t="shared" si="107"/>
        <v>224</v>
      </c>
      <c r="M101" s="346"/>
      <c r="N101" s="78">
        <f t="shared" si="124"/>
        <v>197</v>
      </c>
      <c r="O101" s="346"/>
      <c r="P101" s="78">
        <f t="shared" si="108"/>
        <v>170</v>
      </c>
      <c r="Q101" s="346"/>
      <c r="R101" s="78">
        <f t="shared" si="109"/>
        <v>127</v>
      </c>
      <c r="S101" s="346"/>
      <c r="T101" s="78" t="str">
        <f t="shared" si="110"/>
        <v/>
      </c>
      <c r="U101" s="346"/>
      <c r="V101" s="78">
        <f t="shared" si="111"/>
        <v>1074</v>
      </c>
      <c r="W101" s="346"/>
      <c r="Z101" s="349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>
        <v>193</v>
      </c>
      <c r="AH101" s="112"/>
      <c r="AI101" s="186">
        <v>163</v>
      </c>
      <c r="AJ101" s="112"/>
      <c r="AK101" s="186">
        <v>224</v>
      </c>
      <c r="AL101" s="112"/>
      <c r="AM101" s="186">
        <v>197</v>
      </c>
      <c r="AN101" s="112"/>
      <c r="AO101" s="190">
        <v>170</v>
      </c>
      <c r="AP101" s="112"/>
      <c r="AQ101" s="190">
        <v>127</v>
      </c>
      <c r="AR101" s="112"/>
      <c r="AS101" s="190"/>
      <c r="AT101" s="112"/>
      <c r="AU101" s="113">
        <f t="shared" si="112"/>
        <v>1074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1074</v>
      </c>
      <c r="BF101" s="215">
        <f t="shared" si="127"/>
        <v>6</v>
      </c>
      <c r="BG101" s="215">
        <f t="shared" si="128"/>
        <v>6</v>
      </c>
      <c r="BH101" s="215" t="str">
        <f t="shared" si="113"/>
        <v/>
      </c>
      <c r="BI101" s="215" t="str">
        <f t="shared" si="114"/>
        <v/>
      </c>
      <c r="BJ101" s="215">
        <f t="shared" si="115"/>
        <v>193</v>
      </c>
      <c r="BK101" s="215">
        <f t="shared" si="116"/>
        <v>163</v>
      </c>
      <c r="BL101" s="215">
        <f t="shared" si="117"/>
        <v>224</v>
      </c>
      <c r="BM101" s="215">
        <f t="shared" si="118"/>
        <v>197</v>
      </c>
      <c r="BN101" s="215">
        <f t="shared" si="119"/>
        <v>170</v>
      </c>
      <c r="BO101" s="215">
        <f t="shared" si="120"/>
        <v>127</v>
      </c>
      <c r="BP101" s="215" t="str">
        <f t="shared" si="121"/>
        <v/>
      </c>
      <c r="BQ101" s="216"/>
      <c r="BR101" s="214"/>
      <c r="BS101" s="215">
        <f t="shared" si="129"/>
        <v>224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1074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3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5">
        <f>IF(AD103="","",AD103)</f>
        <v>0</v>
      </c>
      <c r="F103" s="75">
        <f t="shared" si="104"/>
        <v>144</v>
      </c>
      <c r="G103" s="345">
        <f>IF(AF103="","",AF103)</f>
        <v>0</v>
      </c>
      <c r="H103" s="75">
        <f t="shared" si="105"/>
        <v>139</v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>
        <f t="shared" si="109"/>
        <v>115</v>
      </c>
      <c r="S103" s="345">
        <f>IF(AR103="","",AR103)</f>
        <v>0</v>
      </c>
      <c r="T103" s="75">
        <f t="shared" si="110"/>
        <v>174</v>
      </c>
      <c r="U103" s="345">
        <f>IF(AT103="","",AT103)</f>
        <v>0</v>
      </c>
      <c r="V103" s="75">
        <f t="shared" si="111"/>
        <v>572</v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>
        <v>144</v>
      </c>
      <c r="AF103" s="109">
        <f>IF(SUM(AE103:AE105)+AE117=0,0,IF(SUM(AE103:AE105)=AE117,0.5,IF(SUM(AE103:AE105)&gt;AE117,1,0)))</f>
        <v>0</v>
      </c>
      <c r="AG103" s="188">
        <v>139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>
        <v>115</v>
      </c>
      <c r="AR103" s="109">
        <f>IF(SUM(AQ103:AQ105)+AQ117=0,0,IF(SUM(AQ103:AQ105)=AQ117,0.5,IF(SUM(AQ103:AQ105)&gt;AQ117,1,0)))</f>
        <v>0</v>
      </c>
      <c r="AS103" s="188">
        <v>174</v>
      </c>
      <c r="AT103" s="109">
        <f>IF(SUM(AS103:AS105)+AS117=0,0,IF(SUM(AS103:AS105)=AS117,0.5,IF(SUM(AS103:AS105)&gt;AS117,1,0)))</f>
        <v>0</v>
      </c>
      <c r="AU103" s="110">
        <f t="shared" si="112"/>
        <v>572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572</v>
      </c>
      <c r="BF103" s="215">
        <f t="shared" si="127"/>
        <v>4</v>
      </c>
      <c r="BG103" s="215">
        <f t="shared" si="128"/>
        <v>4</v>
      </c>
      <c r="BH103" s="215" t="str">
        <f t="shared" si="113"/>
        <v/>
      </c>
      <c r="BI103" s="215">
        <f t="shared" si="114"/>
        <v>144</v>
      </c>
      <c r="BJ103" s="215">
        <f t="shared" si="115"/>
        <v>139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>
        <f t="shared" si="120"/>
        <v>115</v>
      </c>
      <c r="BP103" s="215">
        <f t="shared" si="121"/>
        <v>174</v>
      </c>
      <c r="BQ103" s="216"/>
      <c r="BR103" s="214"/>
      <c r="BS103" s="215">
        <f t="shared" si="129"/>
        <v>174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572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4"/>
      <c r="B104" s="76" t="str">
        <f t="shared" si="123"/>
        <v>Waigel, Petra</v>
      </c>
      <c r="C104" s="77">
        <f t="shared" si="123"/>
        <v>7061</v>
      </c>
      <c r="D104" s="78">
        <f t="shared" si="123"/>
        <v>151</v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>
        <f t="shared" si="111"/>
        <v>151</v>
      </c>
      <c r="W104" s="346"/>
      <c r="Z104" s="349"/>
      <c r="AA104" s="108" t="str">
        <f>IF(AB104=0,"",VLOOKUP(AB104,Starter!$A$1:$D$199,2,FALSE))</f>
        <v>Waigel, Petra</v>
      </c>
      <c r="AB104" s="98">
        <v>7061</v>
      </c>
      <c r="AC104" s="186">
        <v>151</v>
      </c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151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151</v>
      </c>
      <c r="BF104" s="215">
        <f t="shared" si="127"/>
        <v>1</v>
      </c>
      <c r="BG104" s="215">
        <f t="shared" si="128"/>
        <v>1</v>
      </c>
      <c r="BH104" s="215">
        <f t="shared" si="113"/>
        <v>151</v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151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151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5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>
        <f t="shared" si="106"/>
        <v>117</v>
      </c>
      <c r="K105" s="347"/>
      <c r="L105" s="69">
        <f t="shared" si="107"/>
        <v>138</v>
      </c>
      <c r="M105" s="347"/>
      <c r="N105" s="69">
        <f t="shared" si="124"/>
        <v>148</v>
      </c>
      <c r="O105" s="347"/>
      <c r="P105" s="69">
        <f t="shared" si="108"/>
        <v>147</v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>
        <f t="shared" si="111"/>
        <v>550</v>
      </c>
      <c r="W105" s="347"/>
      <c r="Z105" s="350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>
        <v>117</v>
      </c>
      <c r="AJ105" s="119"/>
      <c r="AK105" s="189">
        <v>138</v>
      </c>
      <c r="AL105" s="119"/>
      <c r="AM105" s="189">
        <v>148</v>
      </c>
      <c r="AN105" s="119"/>
      <c r="AO105" s="189">
        <v>147</v>
      </c>
      <c r="AP105" s="119"/>
      <c r="AQ105" s="189"/>
      <c r="AR105" s="119"/>
      <c r="AS105" s="189"/>
      <c r="AT105" s="119"/>
      <c r="AU105" s="116">
        <f t="shared" si="112"/>
        <v>550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550</v>
      </c>
      <c r="BF105" s="215">
        <f t="shared" si="127"/>
        <v>4</v>
      </c>
      <c r="BG105" s="215">
        <f t="shared" si="128"/>
        <v>4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>
        <f t="shared" si="116"/>
        <v>117</v>
      </c>
      <c r="BL105" s="215">
        <f t="shared" si="117"/>
        <v>138</v>
      </c>
      <c r="BM105" s="215">
        <f t="shared" si="118"/>
        <v>148</v>
      </c>
      <c r="BN105" s="215">
        <f t="shared" si="119"/>
        <v>147</v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148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550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3" t="s">
        <v>11</v>
      </c>
      <c r="B106" s="73" t="str">
        <f>IF(AA106=0,"",AA106)</f>
        <v>Schott, Nicole</v>
      </c>
      <c r="C106" s="74">
        <f t="shared" si="123"/>
        <v>16595</v>
      </c>
      <c r="D106" s="75">
        <f t="shared" si="123"/>
        <v>191</v>
      </c>
      <c r="E106" s="345">
        <f>IF(AD106="","",AD106)</f>
        <v>1</v>
      </c>
      <c r="F106" s="75">
        <f t="shared" si="104"/>
        <v>188</v>
      </c>
      <c r="G106" s="345">
        <f>IF(AF106="","",AF106)</f>
        <v>1</v>
      </c>
      <c r="H106" s="75">
        <f t="shared" si="105"/>
        <v>167</v>
      </c>
      <c r="I106" s="345">
        <f>IF(AH106="","",AH106)</f>
        <v>0</v>
      </c>
      <c r="J106" s="75">
        <f t="shared" si="106"/>
        <v>201</v>
      </c>
      <c r="K106" s="345">
        <f>IF(AJ106="","",AJ106)</f>
        <v>0</v>
      </c>
      <c r="L106" s="75">
        <f t="shared" si="107"/>
        <v>209</v>
      </c>
      <c r="M106" s="345">
        <f>IF(AL106="","",AL106)</f>
        <v>1</v>
      </c>
      <c r="N106" s="75">
        <f t="shared" si="124"/>
        <v>200</v>
      </c>
      <c r="O106" s="345">
        <f>IF(AN106="","",AN106)</f>
        <v>0.5</v>
      </c>
      <c r="P106" s="75">
        <f t="shared" si="108"/>
        <v>214</v>
      </c>
      <c r="Q106" s="345">
        <f>IF(AP106="","",AP106)</f>
        <v>1</v>
      </c>
      <c r="R106" s="75">
        <f t="shared" si="109"/>
        <v>171</v>
      </c>
      <c r="S106" s="345">
        <f>IF(AR106="","",AR106)</f>
        <v>0</v>
      </c>
      <c r="T106" s="75">
        <f t="shared" si="110"/>
        <v>202</v>
      </c>
      <c r="U106" s="345">
        <f>IF(AT106="","",AT106)</f>
        <v>1</v>
      </c>
      <c r="V106" s="75">
        <f t="shared" si="111"/>
        <v>1743</v>
      </c>
      <c r="W106" s="345">
        <f>IF(AV106="","",AV106)</f>
        <v>5.5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>
        <v>191</v>
      </c>
      <c r="AD106" s="109">
        <f>IF(SUM(AC106:AC108)+AC118=0,0,IF(SUM(AC106:AC108)=AC118,0.5,IF(SUM(AC106:AC108)&gt;AC118,1,0)))</f>
        <v>1</v>
      </c>
      <c r="AE106" s="188">
        <v>188</v>
      </c>
      <c r="AF106" s="109">
        <f>IF(SUM(AE106:AE108)+AE118=0,0,IF(SUM(AE106:AE108)=AE118,0.5,IF(SUM(AE106:AE108)&gt;AE118,1,0)))</f>
        <v>1</v>
      </c>
      <c r="AG106" s="188">
        <v>167</v>
      </c>
      <c r="AH106" s="109">
        <f>IF(SUM(AG106:AG108)+AG118=0,0,IF(SUM(AG106:AG108)=AG118,0.5,IF(SUM(AG106:AG108)&gt;AG118,1,0)))</f>
        <v>0</v>
      </c>
      <c r="AI106" s="188">
        <v>201</v>
      </c>
      <c r="AJ106" s="109">
        <f>IF(SUM(AI106:AI108)+AI118=0,0,IF(SUM(AI106:AI108)=AI118,0.5,IF(SUM(AI106:AI108)&gt;AI118,1,0)))</f>
        <v>0</v>
      </c>
      <c r="AK106" s="188">
        <v>209</v>
      </c>
      <c r="AL106" s="109">
        <f>IF(SUM(AK106:AK108)+AK118=0,0,IF(SUM(AK106:AK108)=AK118,0.5,IF(SUM(AK106:AK108)&gt;AK118,1,0)))</f>
        <v>1</v>
      </c>
      <c r="AM106" s="188">
        <v>200</v>
      </c>
      <c r="AN106" s="109">
        <f>IF(SUM(AM106:AM108)+AM118=0,0,IF(SUM(AM106:AM108)=AM118,0.5,IF(SUM(AM106:AM108)&gt;AM118,1,0)))</f>
        <v>0.5</v>
      </c>
      <c r="AO106" s="188">
        <v>214</v>
      </c>
      <c r="AP106" s="109">
        <f>IF(SUM(AO106:AO108)+AO118=0,0,IF(SUM(AO106:AO108)=AO118,0.5,IF(SUM(AO106:AO108)&gt;AO118,1,0)))</f>
        <v>1</v>
      </c>
      <c r="AQ106" s="188">
        <v>171</v>
      </c>
      <c r="AR106" s="109">
        <f>IF(SUM(AQ106:AQ108)+AQ118=0,0,IF(SUM(AQ106:AQ108)=AQ118,0.5,IF(SUM(AQ106:AQ108)&gt;AQ118,1,0)))</f>
        <v>0</v>
      </c>
      <c r="AS106" s="188">
        <v>202</v>
      </c>
      <c r="AT106" s="109">
        <f>IF(SUM(AS106:AS108)+AS118=0,0,IF(SUM(AS106:AS108)=AS118,0.5,IF(SUM(AS106:AS108)&gt;AS118,1,0)))</f>
        <v>1</v>
      </c>
      <c r="AU106" s="110">
        <f t="shared" si="112"/>
        <v>1743</v>
      </c>
      <c r="AV106" s="111">
        <f>SUM(AD106+AF106+AH106+AJ106+AL106+AN106+AP106+AR106+AT106)</f>
        <v>5.5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1743</v>
      </c>
      <c r="BF106" s="215">
        <f t="shared" si="127"/>
        <v>9</v>
      </c>
      <c r="BG106" s="215">
        <f t="shared" si="128"/>
        <v>9</v>
      </c>
      <c r="BH106" s="215">
        <f t="shared" si="113"/>
        <v>191</v>
      </c>
      <c r="BI106" s="215">
        <f t="shared" si="114"/>
        <v>188</v>
      </c>
      <c r="BJ106" s="215">
        <f t="shared" si="115"/>
        <v>167</v>
      </c>
      <c r="BK106" s="215">
        <f t="shared" si="116"/>
        <v>201</v>
      </c>
      <c r="BL106" s="215">
        <f t="shared" si="117"/>
        <v>209</v>
      </c>
      <c r="BM106" s="215">
        <f t="shared" si="118"/>
        <v>200</v>
      </c>
      <c r="BN106" s="215">
        <f t="shared" si="119"/>
        <v>214</v>
      </c>
      <c r="BO106" s="215">
        <f t="shared" si="120"/>
        <v>171</v>
      </c>
      <c r="BP106" s="215">
        <f t="shared" si="121"/>
        <v>202</v>
      </c>
      <c r="BQ106" s="216"/>
      <c r="BR106" s="214"/>
      <c r="BS106" s="215">
        <f t="shared" si="129"/>
        <v>214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1743</v>
      </c>
      <c r="BX106" s="215">
        <f>IF(COUNTIF(BH106:BP106,"&gt;0")&lt;Spielorte!$A$23,0,BE106/Spielorte!$A$23)</f>
        <v>193.66666666666666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652</v>
      </c>
      <c r="E109" s="84">
        <f>IF(AD109="","",AD109)</f>
        <v>0</v>
      </c>
      <c r="F109" s="83">
        <f t="shared" si="104"/>
        <v>653</v>
      </c>
      <c r="G109" s="84">
        <f>IF(AF109="","",AF109)</f>
        <v>0</v>
      </c>
      <c r="H109" s="83">
        <f t="shared" si="105"/>
        <v>659</v>
      </c>
      <c r="I109" s="84">
        <f>IF(AH109="","",AH109)</f>
        <v>0</v>
      </c>
      <c r="J109" s="83">
        <f t="shared" si="106"/>
        <v>672</v>
      </c>
      <c r="K109" s="84">
        <f>IF(AJ109="","",AJ109)</f>
        <v>0</v>
      </c>
      <c r="L109" s="83">
        <f t="shared" si="107"/>
        <v>751</v>
      </c>
      <c r="M109" s="84">
        <f>IF(AL109="","",AL109)</f>
        <v>2</v>
      </c>
      <c r="N109" s="83">
        <f t="shared" si="124"/>
        <v>691</v>
      </c>
      <c r="O109" s="84">
        <f>IF(AN109="","",AN109)</f>
        <v>2</v>
      </c>
      <c r="P109" s="83">
        <f t="shared" si="108"/>
        <v>678</v>
      </c>
      <c r="Q109" s="84">
        <f>IF(AP109="","",AP109)</f>
        <v>0</v>
      </c>
      <c r="R109" s="83">
        <f t="shared" si="109"/>
        <v>596</v>
      </c>
      <c r="S109" s="84">
        <f>IF(AR109="","",AR109)</f>
        <v>0</v>
      </c>
      <c r="T109" s="83">
        <f t="shared" si="110"/>
        <v>690</v>
      </c>
      <c r="U109" s="84">
        <f>IF(AT109="","",AT109)</f>
        <v>0</v>
      </c>
      <c r="V109" s="83">
        <f t="shared" si="111"/>
        <v>6042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652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653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659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672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751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691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678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596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690</v>
      </c>
      <c r="AT109" s="121">
        <f>IF(AS109+AS119=0,0,IF(AS109=AS119,1,IF(AS109&gt;AS119,2,0)))</f>
        <v>0</v>
      </c>
      <c r="AU109" s="122">
        <f>SUM(AC109+AE109+AG109+AI109+AK109+AM109+AO109+AQ109+AS109)</f>
        <v>6042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1</v>
      </c>
      <c r="F110" s="86" t="str">
        <f t="shared" si="104"/>
        <v/>
      </c>
      <c r="G110" s="87">
        <f>IF(AF110="","",AF110)</f>
        <v>1</v>
      </c>
      <c r="H110" s="86" t="str">
        <f t="shared" si="105"/>
        <v/>
      </c>
      <c r="I110" s="87">
        <f>IF(AH110="","",AH110)</f>
        <v>1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3.5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1</v>
      </c>
      <c r="V110" s="86" t="str">
        <f t="shared" si="111"/>
        <v/>
      </c>
      <c r="W110" s="87">
        <f>IF(AV110="","",AV110)</f>
        <v>13.5</v>
      </c>
      <c r="AA110" s="85" t="s">
        <v>1814</v>
      </c>
      <c r="AB110" s="86"/>
      <c r="AC110" s="86"/>
      <c r="AD110" s="124">
        <f>SUM(AD97:AD109)</f>
        <v>1</v>
      </c>
      <c r="AE110" s="86"/>
      <c r="AF110" s="124">
        <f>SUM(AF97:AF109)</f>
        <v>1</v>
      </c>
      <c r="AG110" s="86"/>
      <c r="AH110" s="124">
        <f>SUM(AH97:AH109)</f>
        <v>1</v>
      </c>
      <c r="AI110" s="86"/>
      <c r="AJ110" s="124">
        <f>SUM(AJ97:AJ109)</f>
        <v>0</v>
      </c>
      <c r="AK110" s="86"/>
      <c r="AL110" s="124">
        <f>SUM(AL97:AL109)</f>
        <v>5</v>
      </c>
      <c r="AM110" s="86"/>
      <c r="AN110" s="124">
        <f>SUM(AN97:AN109)</f>
        <v>3.5</v>
      </c>
      <c r="AO110" s="86"/>
      <c r="AP110" s="124">
        <f>SUM(AP97:AP109)</f>
        <v>1</v>
      </c>
      <c r="AQ110" s="86"/>
      <c r="AR110" s="124">
        <f>SUM(AR97:AR109)</f>
        <v>0</v>
      </c>
      <c r="AS110" s="86"/>
      <c r="AT110" s="124">
        <f>SUM(AT97:AT109)</f>
        <v>1</v>
      </c>
      <c r="AU110" s="86"/>
      <c r="AV110" s="125">
        <f>SUM(AV97:AV109)</f>
        <v>13.5</v>
      </c>
      <c r="AW110" s="101"/>
      <c r="AX110" s="102"/>
      <c r="BA110" s="212">
        <f>+AV110</f>
        <v>13.5</v>
      </c>
      <c r="BB110" s="213">
        <f>+AU109</f>
        <v>6042</v>
      </c>
      <c r="BC110" s="214">
        <f>+AA92</f>
        <v>4</v>
      </c>
      <c r="BF110" s="215">
        <f>SUM(BF91:BF109)</f>
        <v>36</v>
      </c>
      <c r="BQ110" s="212">
        <f>+BB110/1000000+BA110</f>
        <v>13.506042000000001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5</v>
      </c>
      <c r="E112" s="353" t="str">
        <f t="shared" si="135"/>
        <v/>
      </c>
      <c r="F112" s="353">
        <f t="shared" si="135"/>
        <v>3</v>
      </c>
      <c r="G112" s="353" t="str">
        <f t="shared" si="135"/>
        <v/>
      </c>
      <c r="H112" s="353">
        <f t="shared" si="135"/>
        <v>1</v>
      </c>
      <c r="I112" s="353" t="str">
        <f t="shared" si="135"/>
        <v/>
      </c>
      <c r="J112" s="353">
        <f t="shared" si="135"/>
        <v>8</v>
      </c>
      <c r="K112" s="353" t="str">
        <f t="shared" si="135"/>
        <v/>
      </c>
      <c r="L112" s="353">
        <f t="shared" si="135"/>
        <v>6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ref="N112:U114" si="136">IF(AQ112=0,"",AQ112)</f>
        <v>2</v>
      </c>
      <c r="S112" s="353" t="str">
        <f t="shared" si="136"/>
        <v/>
      </c>
      <c r="T112" s="353">
        <f t="shared" si="136"/>
        <v>7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VLOOKUP($AA92,Schlüssel!$A$5:$DG$14,23)</f>
        <v>5</v>
      </c>
      <c r="AD112" s="368"/>
      <c r="AE112" s="367">
        <f>VLOOKUP($AA92,Schlüssel!$A$5:$EK$14,24)</f>
        <v>3</v>
      </c>
      <c r="AF112" s="368"/>
      <c r="AG112" s="367">
        <f>VLOOKUP($AA92,Schlüssel!$A$5:$EK$14,25)</f>
        <v>1</v>
      </c>
      <c r="AH112" s="368"/>
      <c r="AI112" s="367">
        <f>VLOOKUP($AA92,Schlüssel!$A$5:$EK$14,26)</f>
        <v>8</v>
      </c>
      <c r="AJ112" s="368"/>
      <c r="AK112" s="367">
        <f>VLOOKUP($AA92,Schlüssel!$A$5:$EK$14,27)</f>
        <v>6</v>
      </c>
      <c r="AL112" s="368"/>
      <c r="AM112" s="367">
        <f>VLOOKUP($AA92,Schlüssel!$A$5:$EK$14,28)</f>
        <v>10</v>
      </c>
      <c r="AN112" s="368"/>
      <c r="AO112" s="367">
        <f>VLOOKUP($AA92,Schlüssel!$A$5:$EK$14,29)</f>
        <v>9</v>
      </c>
      <c r="AP112" s="368"/>
      <c r="AQ112" s="367">
        <f>VLOOKUP($AA92,Schlüssel!$A$5:$EK$14,30)</f>
        <v>2</v>
      </c>
      <c r="AR112" s="368"/>
      <c r="AS112" s="367">
        <f>VLOOKUP($AA92,Schlüssel!$A$5:$EK$14,31)</f>
        <v>7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5" t="str">
        <f t="shared" si="137"/>
        <v xml:space="preserve">Weiß Blau Unterföhring </v>
      </c>
      <c r="E113" s="356" t="str">
        <f t="shared" si="137"/>
        <v/>
      </c>
      <c r="F113" s="355" t="str">
        <f t="shared" si="137"/>
        <v>Highroller Rosenheim</v>
      </c>
      <c r="G113" s="356" t="str">
        <f t="shared" si="137"/>
        <v/>
      </c>
      <c r="H113" s="355" t="str">
        <f t="shared" si="137"/>
        <v>Praetoria Regensburg</v>
      </c>
      <c r="I113" s="356" t="str">
        <f t="shared" si="137"/>
        <v/>
      </c>
      <c r="J113" s="355" t="str">
        <f t="shared" si="137"/>
        <v>EPA München 1</v>
      </c>
      <c r="K113" s="356" t="str">
        <f t="shared" si="137"/>
        <v/>
      </c>
      <c r="L113" s="355" t="str">
        <f t="shared" si="137"/>
        <v>Phönix 03 Lauf</v>
      </c>
      <c r="M113" s="356" t="str">
        <f t="shared" si="137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RW Lichtenhof 69 Stein 2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Frankenpower Nürnberg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 xml:space="preserve">Weiß Blau Unterföhring 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Praetoria Regensburg</v>
      </c>
      <c r="AH113" s="356"/>
      <c r="AI113" s="355" t="str">
        <f>VLOOKUP(AI112,Schlüssel!$A$5:$K$14,2)</f>
        <v>EPA München 1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Frankenpower Nürnberg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7"/>
        <v/>
      </c>
      <c r="M114" s="357" t="str">
        <f t="shared" si="137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171</v>
      </c>
      <c r="E115" s="359" t="str">
        <f>IF(AD115=0,"",AD115)</f>
        <v/>
      </c>
      <c r="F115" s="359">
        <f>IF(AE115=301,"",AE115)</f>
        <v>213</v>
      </c>
      <c r="G115" s="359" t="str">
        <f>IF(AF115=0,"",AF115)</f>
        <v/>
      </c>
      <c r="H115" s="359">
        <f>IF(AG115=301,"",AG115)</f>
        <v>176</v>
      </c>
      <c r="I115" s="359" t="str">
        <f>IF(AH115=0,"",AH115)</f>
        <v/>
      </c>
      <c r="J115" s="359">
        <f>IF(AI115=301,"",AI115)</f>
        <v>212</v>
      </c>
      <c r="K115" s="359" t="str">
        <f>IF(AJ115=0,"",AJ115)</f>
        <v/>
      </c>
      <c r="L115" s="359">
        <f>IF(AK115=301,"",AK115)</f>
        <v>144</v>
      </c>
      <c r="M115" s="359" t="str">
        <f>IF(AL115=0,"",AL115)</f>
        <v/>
      </c>
      <c r="N115" s="359">
        <f>IF(AM115=301,"",AM115)</f>
        <v>168</v>
      </c>
      <c r="O115" s="359" t="str">
        <f>IF(AN115=0,"",AN115)</f>
        <v/>
      </c>
      <c r="P115" s="359">
        <f>IF(AO115=301,"",AO115)</f>
        <v>185</v>
      </c>
      <c r="Q115" s="359" t="str">
        <f>IF(AP115=0,"",AP115)</f>
        <v/>
      </c>
      <c r="R115" s="359">
        <f>IF(AQ115=301,"",AQ115)</f>
        <v>188</v>
      </c>
      <c r="S115" s="359" t="str">
        <f>IF(AR115=0,"",AR115)</f>
        <v/>
      </c>
      <c r="T115" s="359">
        <f>IF(AS115=301,"",AS115)</f>
        <v>175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171</v>
      </c>
      <c r="AD115" s="366"/>
      <c r="AE115" s="365">
        <f>ABS(INDEX(AE:AE,MATCH(AE112,$AA:$AA,0)+5)+INDEX(AE:AE,MATCH(AE112,$AA:$AA,0)+6)+INDEX(AE:AE,MATCH(AE112,$AA:$AA,0)+7))</f>
        <v>213</v>
      </c>
      <c r="AF115" s="366"/>
      <c r="AG115" s="365">
        <f>ABS(INDEX(AG:AG,MATCH(AG112,$AA:$AA,0)+5)+INDEX(AG:AG,MATCH(AG112,$AA:$AA,0)+6)+INDEX(AG:AG,MATCH(AG112,$AA:$AA,0)+7))</f>
        <v>176</v>
      </c>
      <c r="AH115" s="366"/>
      <c r="AI115" s="365">
        <f>ABS(INDEX(AI:AI,MATCH(AI112,$AA:$AA,0)+5)+INDEX(AI:AI,MATCH(AI112,$AA:$AA,0)+6)+INDEX(AI:AI,MATCH(AI112,$AA:$AA,0)+7))</f>
        <v>212</v>
      </c>
      <c r="AJ115" s="366"/>
      <c r="AK115" s="365">
        <f>ABS(INDEX(AK:AK,MATCH(AK112,$AA:$AA,0)+5)+INDEX(AK:AK,MATCH(AK112,$AA:$AA,0)+6)+INDEX(AK:AK,MATCH(AK112,$AA:$AA,0)+7))</f>
        <v>144</v>
      </c>
      <c r="AL115" s="366"/>
      <c r="AM115" s="365">
        <f>ABS(INDEX(AM:AM,MATCH(AM112,$AA:$AA,0)+5)+INDEX(AM:AM,MATCH(AM112,$AA:$AA,0)+6)+INDEX(AM:AM,MATCH(AM112,$AA:$AA,0)+7))</f>
        <v>168</v>
      </c>
      <c r="AN115" s="366"/>
      <c r="AO115" s="365">
        <f>ABS(INDEX(AO:AO,MATCH(AO112,$AA:$AA,0)+5)+INDEX(AO:AO,MATCH(AO112,$AA:$AA,0)+6)+INDEX(AO:AO,MATCH(AO112,$AA:$AA,0)+7))</f>
        <v>185</v>
      </c>
      <c r="AP115" s="366"/>
      <c r="AQ115" s="365">
        <f>ABS(INDEX(AQ:AQ,MATCH(AQ112,$AA:$AA,0)+5)+INDEX(AQ:AQ,MATCH(AQ112,$AA:$AA,0)+6)+INDEX(AQ:AQ,MATCH(AQ112,$AA:$AA,0)+7))</f>
        <v>188</v>
      </c>
      <c r="AR115" s="366"/>
      <c r="AS115" s="365">
        <f>ABS(INDEX(AS:AS,MATCH(AS112,$AA:$AA,0)+5)+INDEX(AS:AS,MATCH(AS112,$AA:$AA,0)+6)+INDEX(AS:AS,MATCH(AS112,$AA:$AA,0)+7))</f>
        <v>175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232</v>
      </c>
      <c r="E116" s="359" t="str">
        <f>IF(AD116=0,"",AD116)</f>
        <v/>
      </c>
      <c r="F116" s="359">
        <f>IF(AE116=301,"",AE116)</f>
        <v>213</v>
      </c>
      <c r="G116" s="359" t="str">
        <f>IF(AF116=0,"",AF116)</f>
        <v/>
      </c>
      <c r="H116" s="359">
        <f>IF(AG116=301,"",AG116)</f>
        <v>189</v>
      </c>
      <c r="I116" s="359" t="str">
        <f>IF(AH116=0,"",AH116)</f>
        <v/>
      </c>
      <c r="J116" s="359">
        <f>IF(AI116=301,"",AI116)</f>
        <v>181</v>
      </c>
      <c r="K116" s="359" t="str">
        <f>IF(AJ116=0,"",AJ116)</f>
        <v/>
      </c>
      <c r="L116" s="359">
        <f>IF(AK116=301,"",AK116)</f>
        <v>135</v>
      </c>
      <c r="M116" s="359" t="str">
        <f>IF(AL116=0,"",AL116)</f>
        <v/>
      </c>
      <c r="N116" s="359">
        <f>IF(AM116=301,"",AM116)</f>
        <v>148</v>
      </c>
      <c r="O116" s="359" t="str">
        <f>IF(AN116=0,"",AN116)</f>
        <v/>
      </c>
      <c r="P116" s="359">
        <f>IF(AO116=301,"",AO116)</f>
        <v>196</v>
      </c>
      <c r="Q116" s="359" t="str">
        <f>IF(AP116=0,"",AP116)</f>
        <v/>
      </c>
      <c r="R116" s="359">
        <f>IF(AQ116=301,"",AQ116)</f>
        <v>175</v>
      </c>
      <c r="S116" s="359" t="str">
        <f>IF(AR116=0,"",AR116)</f>
        <v/>
      </c>
      <c r="T116" s="359">
        <f>IF(AS116=301,"",AS116)</f>
        <v>150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232</v>
      </c>
      <c r="AD116" s="364"/>
      <c r="AE116" s="363">
        <f>ABS(INDEX(AE:AE,MATCH(AE112,$AA:$AA,0)+8)+INDEX(AE:AE,MATCH(AE112,$AA:$AA,0)+9)+INDEX(AE:AE,MATCH(AE112,$AA:$AA,0)+10))</f>
        <v>213</v>
      </c>
      <c r="AF116" s="364"/>
      <c r="AG116" s="363">
        <f>ABS(INDEX(AG:AG,MATCH(AG112,$AA:$AA,0)+8)+INDEX(AG:AG,MATCH(AG112,$AA:$AA,0)+9)+INDEX(AG:AG,MATCH(AG112,$AA:$AA,0)+10))</f>
        <v>189</v>
      </c>
      <c r="AH116" s="364"/>
      <c r="AI116" s="363">
        <f>ABS(INDEX(AI:AI,MATCH(AI112,$AA:$AA,0)+8)+INDEX(AI:AI,MATCH(AI112,$AA:$AA,0)+9)+INDEX(AI:AI,MATCH(AI112,$AA:$AA,0)+10))</f>
        <v>181</v>
      </c>
      <c r="AJ116" s="364"/>
      <c r="AK116" s="363">
        <f>ABS(INDEX(AK:AK,MATCH(AK112,$AA:$AA,0)+8)+INDEX(AK:AK,MATCH(AK112,$AA:$AA,0)+9)+INDEX(AK:AK,MATCH(AK112,$AA:$AA,0)+10))</f>
        <v>135</v>
      </c>
      <c r="AL116" s="364"/>
      <c r="AM116" s="363">
        <f>ABS(INDEX(AM:AM,MATCH(AM112,$AA:$AA,0)+8)+INDEX(AM:AM,MATCH(AM112,$AA:$AA,0)+9)+INDEX(AM:AM,MATCH(AM112,$AA:$AA,0)+10))</f>
        <v>148</v>
      </c>
      <c r="AN116" s="364"/>
      <c r="AO116" s="363">
        <f>ABS(INDEX(AO:AO,MATCH(AO112,$AA:$AA,0)+8)+INDEX(AO:AO,MATCH(AO112,$AA:$AA,0)+9)+INDEX(AO:AO,MATCH(AO112,$AA:$AA,0)+10))</f>
        <v>196</v>
      </c>
      <c r="AP116" s="364"/>
      <c r="AQ116" s="363">
        <f>ABS(INDEX(AQ:AQ,MATCH(AQ112,$AA:$AA,0)+8)+INDEX(AQ:AQ,MATCH(AQ112,$AA:$AA,0)+9)+INDEX(AQ:AQ,MATCH(AQ112,$AA:$AA,0)+10))</f>
        <v>175</v>
      </c>
      <c r="AR116" s="364"/>
      <c r="AS116" s="363">
        <f>ABS(INDEX(AS:AS,MATCH(AS112,$AA:$AA,0)+8)+INDEX(AS:AS,MATCH(AS112,$AA:$AA,0)+9)+INDEX(AS:AS,MATCH(AS112,$AA:$AA,0)+10))</f>
        <v>150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203</v>
      </c>
      <c r="E117" s="359" t="str">
        <f>IF(AD117=0,"",AD117)</f>
        <v/>
      </c>
      <c r="F117" s="359">
        <f>IF(AE117=301,"",AE117)</f>
        <v>151</v>
      </c>
      <c r="G117" s="359" t="str">
        <f>IF(AF117=0,"",AF117)</f>
        <v/>
      </c>
      <c r="H117" s="359">
        <f>IF(AG117=301,"",AG117)</f>
        <v>183</v>
      </c>
      <c r="I117" s="359" t="str">
        <f>IF(AH117=0,"",AH117)</f>
        <v/>
      </c>
      <c r="J117" s="359">
        <f>IF(AI117=301,"",AI117)</f>
        <v>193</v>
      </c>
      <c r="K117" s="359" t="str">
        <f>IF(AJ117=0,"",AJ117)</f>
        <v/>
      </c>
      <c r="L117" s="359">
        <f>IF(AK117=301,"",AK117)</f>
        <v>162</v>
      </c>
      <c r="M117" s="359" t="str">
        <f>IF(AL117=0,"",AL117)</f>
        <v/>
      </c>
      <c r="N117" s="359">
        <f>IF(AM117=301,"",AM117)</f>
        <v>158</v>
      </c>
      <c r="O117" s="359" t="str">
        <f>IF(AN117=0,"",AN117)</f>
        <v/>
      </c>
      <c r="P117" s="359">
        <f>IF(AO117=301,"",AO117)</f>
        <v>179</v>
      </c>
      <c r="Q117" s="359" t="str">
        <f>IF(AP117=0,"",AP117)</f>
        <v/>
      </c>
      <c r="R117" s="359">
        <f>IF(AQ117=301,"",AQ117)</f>
        <v>171</v>
      </c>
      <c r="S117" s="359" t="str">
        <f>IF(AR117=0,"",AR117)</f>
        <v/>
      </c>
      <c r="T117" s="359">
        <f>IF(AS117=301,"",AS117)</f>
        <v>213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203</v>
      </c>
      <c r="AD117" s="364"/>
      <c r="AE117" s="363">
        <f>ABS(INDEX(AE:AE,MATCH(AE112,$AA:$AA,0)+11)+INDEX(AE:AE,MATCH(AE112,$AA:$AA,0)+12)+INDEX(AE:AE,MATCH(AE112,$AA:$AA,0)+13))</f>
        <v>151</v>
      </c>
      <c r="AF117" s="364"/>
      <c r="AG117" s="363">
        <f>ABS(INDEX(AG:AG,MATCH(AG112,$AA:$AA,0)+11)+INDEX(AG:AG,MATCH(AG112,$AA:$AA,0)+12)+INDEX(AG:AG,MATCH(AG112,$AA:$AA,0)+13))</f>
        <v>183</v>
      </c>
      <c r="AH117" s="364"/>
      <c r="AI117" s="363">
        <f>ABS(INDEX(AI:AI,MATCH(AI112,$AA:$AA,0)+11)+INDEX(AI:AI,MATCH(AI112,$AA:$AA,0)+12)+INDEX(AI:AI,MATCH(AI112,$AA:$AA,0)+13))</f>
        <v>193</v>
      </c>
      <c r="AJ117" s="364"/>
      <c r="AK117" s="363">
        <f>ABS(INDEX(AK:AK,MATCH(AK112,$AA:$AA,0)+11)+INDEX(AK:AK,MATCH(AK112,$AA:$AA,0)+12)+INDEX(AK:AK,MATCH(AK112,$AA:$AA,0)+13))</f>
        <v>162</v>
      </c>
      <c r="AL117" s="364"/>
      <c r="AM117" s="363">
        <f>ABS(INDEX(AM:AM,MATCH(AM112,$AA:$AA,0)+11)+INDEX(AM:AM,MATCH(AM112,$AA:$AA,0)+12)+INDEX(AM:AM,MATCH(AM112,$AA:$AA,0)+13))</f>
        <v>158</v>
      </c>
      <c r="AN117" s="364"/>
      <c r="AO117" s="363">
        <f>ABS(INDEX(AO:AO,MATCH(AO112,$AA:$AA,0)+11)+INDEX(AO:AO,MATCH(AO112,$AA:$AA,0)+12)+INDEX(AO:AO,MATCH(AO112,$AA:$AA,0)+13))</f>
        <v>179</v>
      </c>
      <c r="AP117" s="364"/>
      <c r="AQ117" s="363">
        <f>ABS(INDEX(AQ:AQ,MATCH(AQ112,$AA:$AA,0)+11)+INDEX(AQ:AQ,MATCH(AQ112,$AA:$AA,0)+12)+INDEX(AQ:AQ,MATCH(AQ112,$AA:$AA,0)+13))</f>
        <v>171</v>
      </c>
      <c r="AR117" s="364"/>
      <c r="AS117" s="363">
        <f>ABS(INDEX(AS:AS,MATCH(AS112,$AA:$AA,0)+11)+INDEX(AS:AS,MATCH(AS112,$AA:$AA,0)+12)+INDEX(AS:AS,MATCH(AS112,$AA:$AA,0)+13))</f>
        <v>213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146</v>
      </c>
      <c r="E118" s="359" t="str">
        <f>IF(AD118=0,"",AD118)</f>
        <v/>
      </c>
      <c r="F118" s="359">
        <f>IF(AE118=301,"",AE118)</f>
        <v>181</v>
      </c>
      <c r="G118" s="359" t="str">
        <f>IF(AF118=0,"",AF118)</f>
        <v/>
      </c>
      <c r="H118" s="359">
        <f>IF(AG118=301,"",AG118)</f>
        <v>205</v>
      </c>
      <c r="I118" s="359" t="str">
        <f>IF(AH118=0,"",AH118)</f>
        <v/>
      </c>
      <c r="J118" s="359">
        <f>IF(AI118=301,"",AI118)</f>
        <v>209</v>
      </c>
      <c r="K118" s="359" t="str">
        <f>IF(AJ118=0,"",AJ118)</f>
        <v/>
      </c>
      <c r="L118" s="359">
        <f>IF(AK118=301,"",AK118)</f>
        <v>171</v>
      </c>
      <c r="M118" s="359" t="str">
        <f>IF(AL118=0,"",AL118)</f>
        <v/>
      </c>
      <c r="N118" s="359">
        <f>IF(AM118=301,"",AM118)</f>
        <v>200</v>
      </c>
      <c r="O118" s="359" t="str">
        <f>IF(AN118=0,"",AN118)</f>
        <v/>
      </c>
      <c r="P118" s="359">
        <f>IF(AO118=301,"",AO118)</f>
        <v>167</v>
      </c>
      <c r="Q118" s="359" t="str">
        <f>IF(AP118=0,"",AP118)</f>
        <v/>
      </c>
      <c r="R118" s="359">
        <f>IF(AQ118=301,"",AQ118)</f>
        <v>192</v>
      </c>
      <c r="S118" s="359" t="str">
        <f>IF(AR118=0,"",AR118)</f>
        <v/>
      </c>
      <c r="T118" s="359">
        <f>IF(AS118=301,"",AS118)</f>
        <v>168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146</v>
      </c>
      <c r="AD118" s="364"/>
      <c r="AE118" s="363">
        <f>ABS(INDEX(AE:AE,MATCH(AE112,$AA:$AA,0)+14)+INDEX(AE:AE,MATCH(AE112,$AA:$AA,0)+15)+INDEX(AE:AE,MATCH(AE112,$AA:$AA,0)+16))</f>
        <v>181</v>
      </c>
      <c r="AF118" s="364"/>
      <c r="AG118" s="363">
        <f>ABS(INDEX(AG:AG,MATCH(AG112,$AA:$AA,0)+14)+INDEX(AG:AG,MATCH(AG112,$AA:$AA,0)+15)+INDEX(AG:AG,MATCH(AG112,$AA:$AA,0)+16))</f>
        <v>205</v>
      </c>
      <c r="AH118" s="364"/>
      <c r="AI118" s="363">
        <f>ABS(INDEX(AI:AI,MATCH(AI112,$AA:$AA,0)+14)+INDEX(AI:AI,MATCH(AI112,$AA:$AA,0)+15)+INDEX(AI:AI,MATCH(AI112,$AA:$AA,0)+16))</f>
        <v>209</v>
      </c>
      <c r="AJ118" s="364"/>
      <c r="AK118" s="363">
        <f>ABS(INDEX(AK:AK,MATCH(AK112,$AA:$AA,0)+14)+INDEX(AK:AK,MATCH(AK112,$AA:$AA,0)+15)+INDEX(AK:AK,MATCH(AK112,$AA:$AA,0)+16))</f>
        <v>171</v>
      </c>
      <c r="AL118" s="364"/>
      <c r="AM118" s="363">
        <f>ABS(INDEX(AM:AM,MATCH(AM112,$AA:$AA,0)+14)+INDEX(AM:AM,MATCH(AM112,$AA:$AA,0)+15)+INDEX(AM:AM,MATCH(AM112,$AA:$AA,0)+16))</f>
        <v>200</v>
      </c>
      <c r="AN118" s="364"/>
      <c r="AO118" s="363">
        <f>ABS(INDEX(AO:AO,MATCH(AO112,$AA:$AA,0)+14)+INDEX(AO:AO,MATCH(AO112,$AA:$AA,0)+15)+INDEX(AO:AO,MATCH(AO112,$AA:$AA,0)+16))</f>
        <v>167</v>
      </c>
      <c r="AP118" s="364"/>
      <c r="AQ118" s="363">
        <f>ABS(INDEX(AQ:AQ,MATCH(AQ112,$AA:$AA,0)+14)+INDEX(AQ:AQ,MATCH(AQ112,$AA:$AA,0)+15)+INDEX(AQ:AQ,MATCH(AQ112,$AA:$AA,0)+16))</f>
        <v>192</v>
      </c>
      <c r="AR118" s="364"/>
      <c r="AS118" s="363">
        <f>ABS(INDEX(AS:AS,MATCH(AS112,$AA:$AA,0)+14)+INDEX(AS:AS,MATCH(AS112,$AA:$AA,0)+15)+INDEX(AS:AS,MATCH(AS112,$AA:$AA,0)+16))</f>
        <v>168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752</v>
      </c>
      <c r="E119" s="362" t="str">
        <f>IF(AD119=0,"",AD119)</f>
        <v/>
      </c>
      <c r="F119" s="362">
        <f>IF(AE119=1505,"",AE119)</f>
        <v>758</v>
      </c>
      <c r="G119" s="362" t="str">
        <f>IF(AF119=0,"",AF119)</f>
        <v/>
      </c>
      <c r="H119" s="362">
        <f>IF(AG119=1505,"",AG119)</f>
        <v>753</v>
      </c>
      <c r="I119" s="362" t="str">
        <f>IF(AH119=0,"",AH119)</f>
        <v/>
      </c>
      <c r="J119" s="362">
        <f>IF(AI119=1505,"",AI119)</f>
        <v>795</v>
      </c>
      <c r="K119" s="362" t="str">
        <f>IF(AJ119=0,"",AJ119)</f>
        <v/>
      </c>
      <c r="L119" s="362">
        <f>IF(AK119=1505,"",AK119)</f>
        <v>612</v>
      </c>
      <c r="M119" s="362" t="str">
        <f>IF(AL119=0,"",AL119)</f>
        <v/>
      </c>
      <c r="N119" s="362">
        <f>IF(AM119=1505,"",AM119)</f>
        <v>674</v>
      </c>
      <c r="O119" s="362" t="str">
        <f>IF(AN119=0,"",AN119)</f>
        <v/>
      </c>
      <c r="P119" s="362">
        <f>IF(AO119=1505,"",AO119)</f>
        <v>727</v>
      </c>
      <c r="Q119" s="362" t="str">
        <f>IF(AP119=0,"",AP119)</f>
        <v/>
      </c>
      <c r="R119" s="362">
        <f>IF(AQ119=1505,"",AQ119)</f>
        <v>726</v>
      </c>
      <c r="S119" s="362" t="str">
        <f>IF(AR119=0,"",AR119)</f>
        <v/>
      </c>
      <c r="T119" s="362">
        <f>IF(AS119=1505,"",AS119)</f>
        <v>706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752</v>
      </c>
      <c r="AD119" s="344"/>
      <c r="AE119" s="343">
        <f>SUM(AE115:AE118)</f>
        <v>758</v>
      </c>
      <c r="AF119" s="344"/>
      <c r="AG119" s="343">
        <f>SUM(AG115:AG118)</f>
        <v>753</v>
      </c>
      <c r="AH119" s="344"/>
      <c r="AI119" s="343">
        <f>SUM(AI115:AI118)</f>
        <v>795</v>
      </c>
      <c r="AJ119" s="344"/>
      <c r="AK119" s="343">
        <f>SUM(AK115:AK118)</f>
        <v>612</v>
      </c>
      <c r="AL119" s="344"/>
      <c r="AM119" s="343">
        <f>SUM(AM115:AM118)</f>
        <v>674</v>
      </c>
      <c r="AN119" s="344"/>
      <c r="AO119" s="343">
        <f>SUM(AO115:AO118)</f>
        <v>727</v>
      </c>
      <c r="AP119" s="344"/>
      <c r="AQ119" s="343">
        <f>SUM(AQ115:AQ118)</f>
        <v>726</v>
      </c>
      <c r="AR119" s="344"/>
      <c r="AS119" s="343">
        <f>SUM(AS115:AS118)</f>
        <v>706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02.11./03.11.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02.11./03.11.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Regensburg Super Bowl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5">
        <f>IF(AD127="","",AD127)</f>
        <v>1</v>
      </c>
      <c r="F127" s="75">
        <f t="shared" ref="F127:F140" si="139">IF(AE127=0,"",AE127)</f>
        <v>135</v>
      </c>
      <c r="G127" s="345">
        <f>IF(AF127="","",AF127)</f>
        <v>0</v>
      </c>
      <c r="H127" s="75">
        <f t="shared" ref="H127:H140" si="140">IF(AG127=0,"",AG127)</f>
        <v>171</v>
      </c>
      <c r="I127" s="345">
        <f>IF(AH127="","",AH127)</f>
        <v>1</v>
      </c>
      <c r="J127" s="75">
        <f t="shared" ref="J127:J140" si="141">IF(AI127=0,"",AI127)</f>
        <v>194</v>
      </c>
      <c r="K127" s="345">
        <f>IF(AJ127="","",AJ127)</f>
        <v>1</v>
      </c>
      <c r="L127" s="75">
        <f t="shared" ref="L127:L140" si="142">IF(AK127=0,"",AK127)</f>
        <v>173</v>
      </c>
      <c r="M127" s="345">
        <f>IF(AL127="","",AL127)</f>
        <v>1</v>
      </c>
      <c r="N127" s="75">
        <f>IF(AM127=0,"",AM127)</f>
        <v>170</v>
      </c>
      <c r="O127" s="345">
        <f>IF(AN127="","",AN127)</f>
        <v>1</v>
      </c>
      <c r="P127" s="75">
        <f t="shared" ref="P127:P140" si="143">IF(AO127=0,"",AO127)</f>
        <v>204</v>
      </c>
      <c r="Q127" s="345">
        <f>IF(AP127="","",AP127)</f>
        <v>1</v>
      </c>
      <c r="R127" s="75">
        <f t="shared" ref="R127:R140" si="144">IF(AQ127=0,"",AQ127)</f>
        <v>126</v>
      </c>
      <c r="S127" s="345">
        <f>IF(AR127="","",AR127)</f>
        <v>0</v>
      </c>
      <c r="T127" s="75">
        <f t="shared" ref="T127:T140" si="145">IF(AS127=0,"",AS127)</f>
        <v>172</v>
      </c>
      <c r="U127" s="345">
        <f>IF(AT127="","",AT127)</f>
        <v>1</v>
      </c>
      <c r="V127" s="75">
        <f t="shared" ref="V127:V140" si="146">IF(AU127=0,"",AU127)</f>
        <v>1516</v>
      </c>
      <c r="W127" s="345">
        <f>IF(AV127="","",AV127)</f>
        <v>7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3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5">
        <f>IF(AD130="","",AD130)</f>
        <v>1</v>
      </c>
      <c r="F130" s="75">
        <f t="shared" si="139"/>
        <v>172</v>
      </c>
      <c r="G130" s="345">
        <f>IF(AF130="","",AF130)</f>
        <v>0</v>
      </c>
      <c r="H130" s="75">
        <f t="shared" si="140"/>
        <v>180</v>
      </c>
      <c r="I130" s="345">
        <f>IF(AH130="","",AH130)</f>
        <v>1</v>
      </c>
      <c r="J130" s="75">
        <f t="shared" si="141"/>
        <v>183</v>
      </c>
      <c r="K130" s="345">
        <f>IF(AJ130="","",AJ130)</f>
        <v>0</v>
      </c>
      <c r="L130" s="75">
        <f t="shared" si="142"/>
        <v>159</v>
      </c>
      <c r="M130" s="345">
        <f>IF(AL130="","",AL130)</f>
        <v>0</v>
      </c>
      <c r="N130" s="75">
        <f t="shared" si="159"/>
        <v>190</v>
      </c>
      <c r="O130" s="345">
        <f>IF(AN130="","",AN130)</f>
        <v>0</v>
      </c>
      <c r="P130" s="75">
        <f t="shared" si="143"/>
        <v>186</v>
      </c>
      <c r="Q130" s="345">
        <f>IF(AP130="","",AP130)</f>
        <v>0</v>
      </c>
      <c r="R130" s="75">
        <f t="shared" si="144"/>
        <v>166</v>
      </c>
      <c r="S130" s="345">
        <f>IF(AR130="","",AR130)</f>
        <v>0</v>
      </c>
      <c r="T130" s="75">
        <f t="shared" si="145"/>
        <v>155</v>
      </c>
      <c r="U130" s="345">
        <f>IF(AT130="","",AT130)</f>
        <v>0</v>
      </c>
      <c r="V130" s="75">
        <f t="shared" si="146"/>
        <v>1623</v>
      </c>
      <c r="W130" s="345">
        <f>IF(AV130="","",AV130)</f>
        <v>2</v>
      </c>
      <c r="Z130" s="348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3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5">
        <f>IF(AD133="","",AD133)</f>
        <v>1</v>
      </c>
      <c r="F133" s="75">
        <f t="shared" si="139"/>
        <v>184</v>
      </c>
      <c r="G133" s="345">
        <f>IF(AF133="","",AF133)</f>
        <v>1</v>
      </c>
      <c r="H133" s="75">
        <f t="shared" si="140"/>
        <v>150</v>
      </c>
      <c r="I133" s="345">
        <f>IF(AH133="","",AH133)</f>
        <v>0</v>
      </c>
      <c r="J133" s="75">
        <f t="shared" si="141"/>
        <v>167</v>
      </c>
      <c r="K133" s="345">
        <f>IF(AJ133="","",AJ133)</f>
        <v>1</v>
      </c>
      <c r="L133" s="75">
        <f t="shared" si="142"/>
        <v>202</v>
      </c>
      <c r="M133" s="345">
        <f>IF(AL133="","",AL133)</f>
        <v>0</v>
      </c>
      <c r="N133" s="75">
        <f t="shared" si="159"/>
        <v>181</v>
      </c>
      <c r="O133" s="345">
        <f>IF(AN133="","",AN133)</f>
        <v>0.5</v>
      </c>
      <c r="P133" s="75">
        <f t="shared" si="143"/>
        <v>158</v>
      </c>
      <c r="Q133" s="345">
        <f>IF(AP133="","",AP133)</f>
        <v>1</v>
      </c>
      <c r="R133" s="75">
        <f t="shared" si="144"/>
        <v>169</v>
      </c>
      <c r="S133" s="345">
        <f>IF(AR133="","",AR133)</f>
        <v>1</v>
      </c>
      <c r="T133" s="75">
        <f t="shared" si="145"/>
        <v>201</v>
      </c>
      <c r="U133" s="345">
        <f>IF(AT133="","",AT133)</f>
        <v>1</v>
      </c>
      <c r="V133" s="75">
        <f t="shared" si="146"/>
        <v>1615</v>
      </c>
      <c r="W133" s="345">
        <f>IF(AV133="","",AV133)</f>
        <v>6.5</v>
      </c>
      <c r="Z133" s="348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3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5">
        <f>IF(AD136="","",AD136)</f>
        <v>0</v>
      </c>
      <c r="F136" s="75">
        <f t="shared" si="139"/>
        <v>155</v>
      </c>
      <c r="G136" s="345">
        <f>IF(AF136="","",AF136)</f>
        <v>0</v>
      </c>
      <c r="H136" s="75">
        <f t="shared" si="140"/>
        <v>181</v>
      </c>
      <c r="I136" s="345">
        <f>IF(AH136="","",AH136)</f>
        <v>1</v>
      </c>
      <c r="J136" s="75">
        <f t="shared" si="141"/>
        <v>206</v>
      </c>
      <c r="K136" s="345">
        <f>IF(AJ136="","",AJ136)</f>
        <v>1</v>
      </c>
      <c r="L136" s="75">
        <f t="shared" si="142"/>
        <v>176</v>
      </c>
      <c r="M136" s="345">
        <f>IF(AL136="","",AL136)</f>
        <v>0</v>
      </c>
      <c r="N136" s="75">
        <f t="shared" si="159"/>
        <v>181</v>
      </c>
      <c r="O136" s="345">
        <f>IF(AN136="","",AN136)</f>
        <v>0</v>
      </c>
      <c r="P136" s="75">
        <f t="shared" si="143"/>
        <v>177</v>
      </c>
      <c r="Q136" s="345">
        <f>IF(AP136="","",AP136)</f>
        <v>1</v>
      </c>
      <c r="R136" s="75">
        <f t="shared" si="144"/>
        <v>180</v>
      </c>
      <c r="S136" s="345">
        <f>IF(AR136="","",AR136)</f>
        <v>0</v>
      </c>
      <c r="T136" s="75">
        <f t="shared" si="145"/>
        <v>193</v>
      </c>
      <c r="U136" s="345">
        <f>IF(AT136="","",AT136)</f>
        <v>1</v>
      </c>
      <c r="V136" s="75">
        <f t="shared" si="146"/>
        <v>1595</v>
      </c>
      <c r="W136" s="345">
        <f>IF(AV136="","",AV136)</f>
        <v>4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0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29.5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29.5</v>
      </c>
      <c r="AW140" s="101"/>
      <c r="AX140" s="102"/>
      <c r="BA140" s="212">
        <f>+AV140</f>
        <v>29.5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29.506349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4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6</v>
      </c>
      <c r="I142" s="353" t="str">
        <f t="shared" si="170"/>
        <v/>
      </c>
      <c r="J142" s="353">
        <f t="shared" si="170"/>
        <v>2</v>
      </c>
      <c r="K142" s="353" t="str">
        <f t="shared" si="170"/>
        <v/>
      </c>
      <c r="L142" s="353">
        <f t="shared" si="170"/>
        <v>7</v>
      </c>
      <c r="M142" s="353" t="str">
        <f t="shared" si="170"/>
        <v/>
      </c>
      <c r="N142" s="353">
        <f t="shared" si="170"/>
        <v>1</v>
      </c>
      <c r="O142" s="353" t="str">
        <f t="shared" si="170"/>
        <v/>
      </c>
      <c r="P142" s="353">
        <f t="shared" si="170"/>
        <v>3</v>
      </c>
      <c r="Q142" s="353" t="str">
        <f t="shared" si="170"/>
        <v/>
      </c>
      <c r="R142" s="353">
        <f t="shared" ref="N142:U144" si="171">IF(AQ142=0,"",AQ142)</f>
        <v>8</v>
      </c>
      <c r="S142" s="353" t="str">
        <f t="shared" si="171"/>
        <v/>
      </c>
      <c r="T142" s="353">
        <f t="shared" si="171"/>
        <v>9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VLOOKUP($AA122,Schlüssel!$A$5:$DG$14,23)</f>
        <v>4</v>
      </c>
      <c r="AD142" s="368"/>
      <c r="AE142" s="367">
        <f>VLOOKUP($AA122,Schlüssel!$A$5:$EK$14,24)</f>
        <v>10</v>
      </c>
      <c r="AF142" s="368"/>
      <c r="AG142" s="367">
        <f>VLOOKUP($AA122,Schlüssel!$A$5:$EK$14,25)</f>
        <v>6</v>
      </c>
      <c r="AH142" s="368"/>
      <c r="AI142" s="367">
        <f>VLOOKUP($AA122,Schlüssel!$A$5:$EK$14,26)</f>
        <v>2</v>
      </c>
      <c r="AJ142" s="368"/>
      <c r="AK142" s="367">
        <f>VLOOKUP($AA122,Schlüssel!$A$5:$EK$14,27)</f>
        <v>7</v>
      </c>
      <c r="AL142" s="368"/>
      <c r="AM142" s="367">
        <f>VLOOKUP($AA122,Schlüssel!$A$5:$EK$14,28)</f>
        <v>1</v>
      </c>
      <c r="AN142" s="368"/>
      <c r="AO142" s="367">
        <f>VLOOKUP($AA122,Schlüssel!$A$5:$EK$14,29)</f>
        <v>3</v>
      </c>
      <c r="AP142" s="368"/>
      <c r="AQ142" s="367">
        <f>VLOOKUP($AA122,Schlüssel!$A$5:$EK$14,30)</f>
        <v>8</v>
      </c>
      <c r="AR142" s="368"/>
      <c r="AS142" s="367">
        <f>VLOOKUP($AA122,Schlüssel!$A$5:$EK$14,31)</f>
        <v>9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5" t="str">
        <f t="shared" si="172"/>
        <v>BK München 3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Phönix 03 Lauf</v>
      </c>
      <c r="I143" s="356" t="str">
        <f t="shared" si="172"/>
        <v/>
      </c>
      <c r="J143" s="355" t="str">
        <f t="shared" si="172"/>
        <v>BK München 2</v>
      </c>
      <c r="K143" s="356" t="str">
        <f t="shared" si="172"/>
        <v/>
      </c>
      <c r="L143" s="355" t="str">
        <f t="shared" si="172"/>
        <v>Frankenpower Nürnberg</v>
      </c>
      <c r="M143" s="356" t="str">
        <f t="shared" si="172"/>
        <v/>
      </c>
      <c r="N143" s="355" t="str">
        <f t="shared" si="171"/>
        <v>Praetoria Regensburg</v>
      </c>
      <c r="O143" s="356" t="str">
        <f t="shared" si="171"/>
        <v/>
      </c>
      <c r="P143" s="355" t="str">
        <f t="shared" si="171"/>
        <v>Highroller Rosenheim</v>
      </c>
      <c r="Q143" s="356" t="str">
        <f t="shared" si="171"/>
        <v/>
      </c>
      <c r="R143" s="355" t="str">
        <f t="shared" si="171"/>
        <v>EPA München 1</v>
      </c>
      <c r="S143" s="356" t="str">
        <f t="shared" si="171"/>
        <v/>
      </c>
      <c r="T143" s="355" t="str">
        <f t="shared" si="171"/>
        <v>RW Lichtenhof 69 Stein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3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BK München 2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Praetoria Regensburg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EPA München 1</v>
      </c>
      <c r="AR143" s="356"/>
      <c r="AS143" s="355" t="str">
        <f>VLOOKUP(AS142,Schlüssel!$A$5:$K$14,2)</f>
        <v>RW Lichtenhof 69 Stein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2"/>
        <v/>
      </c>
      <c r="M144" s="357" t="str">
        <f t="shared" si="172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168</v>
      </c>
      <c r="E145" s="359" t="str">
        <f>IF(AD145=0,"",AD145)</f>
        <v/>
      </c>
      <c r="F145" s="359">
        <f>IF(AE145=301,"",AE145)</f>
        <v>238</v>
      </c>
      <c r="G145" s="359" t="str">
        <f>IF(AF145=0,"",AF145)</f>
        <v/>
      </c>
      <c r="H145" s="359">
        <f>IF(AG145=301,"",AG145)</f>
        <v>146</v>
      </c>
      <c r="I145" s="359" t="str">
        <f>IF(AH145=0,"",AH145)</f>
        <v/>
      </c>
      <c r="J145" s="359">
        <f>IF(AI145=301,"",AI145)</f>
        <v>184</v>
      </c>
      <c r="K145" s="359" t="str">
        <f>IF(AJ145=0,"",AJ145)</f>
        <v/>
      </c>
      <c r="L145" s="359">
        <f>IF(AK145=301,"",AK145)</f>
        <v>168</v>
      </c>
      <c r="M145" s="359" t="str">
        <f>IF(AL145=0,"",AL145)</f>
        <v/>
      </c>
      <c r="N145" s="359">
        <f>IF(AM145=301,"",AM145)</f>
        <v>169</v>
      </c>
      <c r="O145" s="359" t="str">
        <f>IF(AN145=0,"",AN145)</f>
        <v/>
      </c>
      <c r="P145" s="359">
        <f>IF(AO145=301,"",AO145)</f>
        <v>182</v>
      </c>
      <c r="Q145" s="359" t="str">
        <f>IF(AP145=0,"",AP145)</f>
        <v/>
      </c>
      <c r="R145" s="359">
        <f>IF(AQ145=301,"",AQ145)</f>
        <v>179</v>
      </c>
      <c r="S145" s="359" t="str">
        <f>IF(AR145=0,"",AR145)</f>
        <v/>
      </c>
      <c r="T145" s="359">
        <f>IF(AS145=301,"",AS145)</f>
        <v>158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168</v>
      </c>
      <c r="AD145" s="366"/>
      <c r="AE145" s="365">
        <f>ABS(INDEX(AE:AE,MATCH(AE142,$AA:$AA,0)+5)+INDEX(AE:AE,MATCH(AE142,$AA:$AA,0)+6)+INDEX(AE:AE,MATCH(AE142,$AA:$AA,0)+7))</f>
        <v>238</v>
      </c>
      <c r="AF145" s="366"/>
      <c r="AG145" s="365">
        <f>ABS(INDEX(AG:AG,MATCH(AG142,$AA:$AA,0)+5)+INDEX(AG:AG,MATCH(AG142,$AA:$AA,0)+6)+INDEX(AG:AG,MATCH(AG142,$AA:$AA,0)+7))</f>
        <v>146</v>
      </c>
      <c r="AH145" s="366"/>
      <c r="AI145" s="365">
        <f>ABS(INDEX(AI:AI,MATCH(AI142,$AA:$AA,0)+5)+INDEX(AI:AI,MATCH(AI142,$AA:$AA,0)+6)+INDEX(AI:AI,MATCH(AI142,$AA:$AA,0)+7))</f>
        <v>184</v>
      </c>
      <c r="AJ145" s="366"/>
      <c r="AK145" s="365">
        <f>ABS(INDEX(AK:AK,MATCH(AK142,$AA:$AA,0)+5)+INDEX(AK:AK,MATCH(AK142,$AA:$AA,0)+6)+INDEX(AK:AK,MATCH(AK142,$AA:$AA,0)+7))</f>
        <v>168</v>
      </c>
      <c r="AL145" s="366"/>
      <c r="AM145" s="365">
        <f>ABS(INDEX(AM:AM,MATCH(AM142,$AA:$AA,0)+5)+INDEX(AM:AM,MATCH(AM142,$AA:$AA,0)+6)+INDEX(AM:AM,MATCH(AM142,$AA:$AA,0)+7))</f>
        <v>169</v>
      </c>
      <c r="AN145" s="366"/>
      <c r="AO145" s="365">
        <f>ABS(INDEX(AO:AO,MATCH(AO142,$AA:$AA,0)+5)+INDEX(AO:AO,MATCH(AO142,$AA:$AA,0)+6)+INDEX(AO:AO,MATCH(AO142,$AA:$AA,0)+7))</f>
        <v>182</v>
      </c>
      <c r="AP145" s="366"/>
      <c r="AQ145" s="365">
        <f>ABS(INDEX(AQ:AQ,MATCH(AQ142,$AA:$AA,0)+5)+INDEX(AQ:AQ,MATCH(AQ142,$AA:$AA,0)+6)+INDEX(AQ:AQ,MATCH(AQ142,$AA:$AA,0)+7))</f>
        <v>179</v>
      </c>
      <c r="AR145" s="366"/>
      <c r="AS145" s="365">
        <f>ABS(INDEX(AS:AS,MATCH(AS142,$AA:$AA,0)+5)+INDEX(AS:AS,MATCH(AS142,$AA:$AA,0)+6)+INDEX(AS:AS,MATCH(AS142,$AA:$AA,0)+7))</f>
        <v>158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142</v>
      </c>
      <c r="E146" s="359" t="str">
        <f>IF(AD146=0,"",AD146)</f>
        <v/>
      </c>
      <c r="F146" s="359">
        <f>IF(AE146=301,"",AE146)</f>
        <v>191</v>
      </c>
      <c r="G146" s="359" t="str">
        <f>IF(AF146=0,"",AF146)</f>
        <v/>
      </c>
      <c r="H146" s="359">
        <f>IF(AG146=301,"",AG146)</f>
        <v>158</v>
      </c>
      <c r="I146" s="359" t="str">
        <f>IF(AH146=0,"",AH146)</f>
        <v/>
      </c>
      <c r="J146" s="359">
        <f>IF(AI146=301,"",AI146)</f>
        <v>193</v>
      </c>
      <c r="K146" s="359" t="str">
        <f>IF(AJ146=0,"",AJ146)</f>
        <v/>
      </c>
      <c r="L146" s="359">
        <f>IF(AK146=301,"",AK146)</f>
        <v>161</v>
      </c>
      <c r="M146" s="359" t="str">
        <f>IF(AL146=0,"",AL146)</f>
        <v/>
      </c>
      <c r="N146" s="359">
        <f>IF(AM146=301,"",AM146)</f>
        <v>193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181</v>
      </c>
      <c r="S146" s="359" t="str">
        <f>IF(AR146=0,"",AR146)</f>
        <v/>
      </c>
      <c r="T146" s="359">
        <f>IF(AS146=301,"",AS146)</f>
        <v>211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142</v>
      </c>
      <c r="AD146" s="364"/>
      <c r="AE146" s="363">
        <f>ABS(INDEX(AE:AE,MATCH(AE142,$AA:$AA,0)+8)+INDEX(AE:AE,MATCH(AE142,$AA:$AA,0)+9)+INDEX(AE:AE,MATCH(AE142,$AA:$AA,0)+10))</f>
        <v>191</v>
      </c>
      <c r="AF146" s="364"/>
      <c r="AG146" s="363">
        <f>ABS(INDEX(AG:AG,MATCH(AG142,$AA:$AA,0)+8)+INDEX(AG:AG,MATCH(AG142,$AA:$AA,0)+9)+INDEX(AG:AG,MATCH(AG142,$AA:$AA,0)+10))</f>
        <v>158</v>
      </c>
      <c r="AH146" s="364"/>
      <c r="AI146" s="363">
        <f>ABS(INDEX(AI:AI,MATCH(AI142,$AA:$AA,0)+8)+INDEX(AI:AI,MATCH(AI142,$AA:$AA,0)+9)+INDEX(AI:AI,MATCH(AI142,$AA:$AA,0)+10))</f>
        <v>193</v>
      </c>
      <c r="AJ146" s="364"/>
      <c r="AK146" s="363">
        <f>ABS(INDEX(AK:AK,MATCH(AK142,$AA:$AA,0)+8)+INDEX(AK:AK,MATCH(AK142,$AA:$AA,0)+9)+INDEX(AK:AK,MATCH(AK142,$AA:$AA,0)+10))</f>
        <v>161</v>
      </c>
      <c r="AL146" s="364"/>
      <c r="AM146" s="363">
        <f>ABS(INDEX(AM:AM,MATCH(AM142,$AA:$AA,0)+8)+INDEX(AM:AM,MATCH(AM142,$AA:$AA,0)+9)+INDEX(AM:AM,MATCH(AM142,$AA:$AA,0)+10))</f>
        <v>193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181</v>
      </c>
      <c r="AR146" s="364"/>
      <c r="AS146" s="363">
        <f>ABS(INDEX(AS:AS,MATCH(AS142,$AA:$AA,0)+8)+INDEX(AS:AS,MATCH(AS142,$AA:$AA,0)+9)+INDEX(AS:AS,MATCH(AS142,$AA:$AA,0)+10))</f>
        <v>211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151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201</v>
      </c>
      <c r="I147" s="359" t="str">
        <f>IF(AH147=0,"",AH147)</f>
        <v/>
      </c>
      <c r="J147" s="359">
        <f>IF(AI147=301,"",AI147)</f>
        <v>147</v>
      </c>
      <c r="K147" s="359" t="str">
        <f>IF(AJ147=0,"",AJ147)</f>
        <v/>
      </c>
      <c r="L147" s="359">
        <f>IF(AK147=301,"",AK147)</f>
        <v>236</v>
      </c>
      <c r="M147" s="359" t="str">
        <f>IF(AL147=0,"",AL147)</f>
        <v/>
      </c>
      <c r="N147" s="359">
        <f>IF(AM147=301,"",AM147)</f>
        <v>181</v>
      </c>
      <c r="O147" s="359" t="str">
        <f>IF(AN147=0,"",AN147)</f>
        <v/>
      </c>
      <c r="P147" s="359">
        <f>IF(AO147=301,"",AO147)</f>
        <v>157</v>
      </c>
      <c r="Q147" s="359" t="str">
        <f>IF(AP147=0,"",AP147)</f>
        <v/>
      </c>
      <c r="R147" s="359">
        <f>IF(AQ147=301,"",AQ147)</f>
        <v>157</v>
      </c>
      <c r="S147" s="359" t="str">
        <f>IF(AR147=0,"",AR147)</f>
        <v/>
      </c>
      <c r="T147" s="359">
        <f>IF(AS147=301,"",AS147)</f>
        <v>146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151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201</v>
      </c>
      <c r="AH147" s="364"/>
      <c r="AI147" s="363">
        <f>ABS(INDEX(AI:AI,MATCH(AI142,$AA:$AA,0)+11)+INDEX(AI:AI,MATCH(AI142,$AA:$AA,0)+12)+INDEX(AI:AI,MATCH(AI142,$AA:$AA,0)+13))</f>
        <v>147</v>
      </c>
      <c r="AJ147" s="364"/>
      <c r="AK147" s="363">
        <f>ABS(INDEX(AK:AK,MATCH(AK142,$AA:$AA,0)+11)+INDEX(AK:AK,MATCH(AK142,$AA:$AA,0)+12)+INDEX(AK:AK,MATCH(AK142,$AA:$AA,0)+13))</f>
        <v>236</v>
      </c>
      <c r="AL147" s="364"/>
      <c r="AM147" s="363">
        <f>ABS(INDEX(AM:AM,MATCH(AM142,$AA:$AA,0)+11)+INDEX(AM:AM,MATCH(AM142,$AA:$AA,0)+12)+INDEX(AM:AM,MATCH(AM142,$AA:$AA,0)+13))</f>
        <v>181</v>
      </c>
      <c r="AN147" s="364"/>
      <c r="AO147" s="363">
        <f>ABS(INDEX(AO:AO,MATCH(AO142,$AA:$AA,0)+11)+INDEX(AO:AO,MATCH(AO142,$AA:$AA,0)+12)+INDEX(AO:AO,MATCH(AO142,$AA:$AA,0)+13))</f>
        <v>157</v>
      </c>
      <c r="AP147" s="364"/>
      <c r="AQ147" s="363">
        <f>ABS(INDEX(AQ:AQ,MATCH(AQ142,$AA:$AA,0)+11)+INDEX(AQ:AQ,MATCH(AQ142,$AA:$AA,0)+12)+INDEX(AQ:AQ,MATCH(AQ142,$AA:$AA,0)+13))</f>
        <v>157</v>
      </c>
      <c r="AR147" s="364"/>
      <c r="AS147" s="363">
        <f>ABS(INDEX(AS:AS,MATCH(AS142,$AA:$AA,0)+11)+INDEX(AS:AS,MATCH(AS142,$AA:$AA,0)+12)+INDEX(AS:AS,MATCH(AS142,$AA:$AA,0)+13))</f>
        <v>146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191</v>
      </c>
      <c r="E148" s="359" t="str">
        <f>IF(AD148=0,"",AD148)</f>
        <v/>
      </c>
      <c r="F148" s="359">
        <f>IF(AE148=301,"",AE148)</f>
        <v>221</v>
      </c>
      <c r="G148" s="359" t="str">
        <f>IF(AF148=0,"",AF148)</f>
        <v/>
      </c>
      <c r="H148" s="359">
        <f>IF(AG148=301,"",AG148)</f>
        <v>173</v>
      </c>
      <c r="I148" s="359" t="str">
        <f>IF(AH148=0,"",AH148)</f>
        <v/>
      </c>
      <c r="J148" s="359">
        <f>IF(AI148=301,"",AI148)</f>
        <v>204</v>
      </c>
      <c r="K148" s="359" t="str">
        <f>IF(AJ148=0,"",AJ148)</f>
        <v/>
      </c>
      <c r="L148" s="359">
        <f>IF(AK148=301,"",AK148)</f>
        <v>180</v>
      </c>
      <c r="M148" s="359" t="str">
        <f>IF(AL148=0,"",AL148)</f>
        <v/>
      </c>
      <c r="N148" s="359">
        <f>IF(AM148=301,"",AM148)</f>
        <v>185</v>
      </c>
      <c r="O148" s="359" t="str">
        <f>IF(AN148=0,"",AN148)</f>
        <v/>
      </c>
      <c r="P148" s="359">
        <f>IF(AO148=301,"",AO148)</f>
        <v>168</v>
      </c>
      <c r="Q148" s="359" t="str">
        <f>IF(AP148=0,"",AP148)</f>
        <v/>
      </c>
      <c r="R148" s="359">
        <f>IF(AQ148=301,"",AQ148)</f>
        <v>183</v>
      </c>
      <c r="S148" s="359" t="str">
        <f>IF(AR148=0,"",AR148)</f>
        <v/>
      </c>
      <c r="T148" s="359">
        <f>IF(AS148=301,"",AS148)</f>
        <v>136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191</v>
      </c>
      <c r="AD148" s="364"/>
      <c r="AE148" s="363">
        <f>ABS(INDEX(AE:AE,MATCH(AE142,$AA:$AA,0)+14)+INDEX(AE:AE,MATCH(AE142,$AA:$AA,0)+15)+INDEX(AE:AE,MATCH(AE142,$AA:$AA,0)+16))</f>
        <v>221</v>
      </c>
      <c r="AF148" s="364"/>
      <c r="AG148" s="363">
        <f>ABS(INDEX(AG:AG,MATCH(AG142,$AA:$AA,0)+14)+INDEX(AG:AG,MATCH(AG142,$AA:$AA,0)+15)+INDEX(AG:AG,MATCH(AG142,$AA:$AA,0)+16))</f>
        <v>173</v>
      </c>
      <c r="AH148" s="364"/>
      <c r="AI148" s="363">
        <f>ABS(INDEX(AI:AI,MATCH(AI142,$AA:$AA,0)+14)+INDEX(AI:AI,MATCH(AI142,$AA:$AA,0)+15)+INDEX(AI:AI,MATCH(AI142,$AA:$AA,0)+16))</f>
        <v>204</v>
      </c>
      <c r="AJ148" s="364"/>
      <c r="AK148" s="363">
        <f>ABS(INDEX(AK:AK,MATCH(AK142,$AA:$AA,0)+14)+INDEX(AK:AK,MATCH(AK142,$AA:$AA,0)+15)+INDEX(AK:AK,MATCH(AK142,$AA:$AA,0)+16))</f>
        <v>180</v>
      </c>
      <c r="AL148" s="364"/>
      <c r="AM148" s="363">
        <f>ABS(INDEX(AM:AM,MATCH(AM142,$AA:$AA,0)+14)+INDEX(AM:AM,MATCH(AM142,$AA:$AA,0)+15)+INDEX(AM:AM,MATCH(AM142,$AA:$AA,0)+16))</f>
        <v>185</v>
      </c>
      <c r="AN148" s="364"/>
      <c r="AO148" s="363">
        <f>ABS(INDEX(AO:AO,MATCH(AO142,$AA:$AA,0)+14)+INDEX(AO:AO,MATCH(AO142,$AA:$AA,0)+15)+INDEX(AO:AO,MATCH(AO142,$AA:$AA,0)+16))</f>
        <v>168</v>
      </c>
      <c r="AP148" s="364"/>
      <c r="AQ148" s="363">
        <f>ABS(INDEX(AQ:AQ,MATCH(AQ142,$AA:$AA,0)+14)+INDEX(AQ:AQ,MATCH(AQ142,$AA:$AA,0)+15)+INDEX(AQ:AQ,MATCH(AQ142,$AA:$AA,0)+16))</f>
        <v>183</v>
      </c>
      <c r="AR148" s="364"/>
      <c r="AS148" s="363">
        <f>ABS(INDEX(AS:AS,MATCH(AS142,$AA:$AA,0)+14)+INDEX(AS:AS,MATCH(AS142,$AA:$AA,0)+15)+INDEX(AS:AS,MATCH(AS142,$AA:$AA,0)+16))</f>
        <v>136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652</v>
      </c>
      <c r="E149" s="362" t="str">
        <f>IF(AD149=0,"",AD149)</f>
        <v/>
      </c>
      <c r="F149" s="362">
        <f>IF(AE149=1505,"",AE149)</f>
        <v>805</v>
      </c>
      <c r="G149" s="362" t="str">
        <f>IF(AF149=0,"",AF149)</f>
        <v/>
      </c>
      <c r="H149" s="362">
        <f>IF(AG149=1505,"",AG149)</f>
        <v>678</v>
      </c>
      <c r="I149" s="362" t="str">
        <f>IF(AH149=0,"",AH149)</f>
        <v/>
      </c>
      <c r="J149" s="362">
        <f>IF(AI149=1505,"",AI149)</f>
        <v>728</v>
      </c>
      <c r="K149" s="362" t="str">
        <f>IF(AJ149=0,"",AJ149)</f>
        <v/>
      </c>
      <c r="L149" s="362">
        <f>IF(AK149=1505,"",AK149)</f>
        <v>745</v>
      </c>
      <c r="M149" s="362" t="str">
        <f>IF(AL149=0,"",AL149)</f>
        <v/>
      </c>
      <c r="N149" s="362">
        <f>IF(AM149=1505,"",AM149)</f>
        <v>728</v>
      </c>
      <c r="O149" s="362" t="str">
        <f>IF(AN149=0,"",AN149)</f>
        <v/>
      </c>
      <c r="P149" s="362">
        <f>IF(AO149=1505,"",AO149)</f>
        <v>696</v>
      </c>
      <c r="Q149" s="362" t="str">
        <f>IF(AP149=0,"",AP149)</f>
        <v/>
      </c>
      <c r="R149" s="362">
        <f>IF(AQ149=1505,"",AQ149)</f>
        <v>700</v>
      </c>
      <c r="S149" s="362" t="str">
        <f>IF(AR149=0,"",AR149)</f>
        <v/>
      </c>
      <c r="T149" s="362">
        <f>IF(AS149=1505,"",AS149)</f>
        <v>651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652</v>
      </c>
      <c r="AD149" s="344"/>
      <c r="AE149" s="343">
        <f>SUM(AE145:AE148)</f>
        <v>805</v>
      </c>
      <c r="AF149" s="344"/>
      <c r="AG149" s="343">
        <f>SUM(AG145:AG148)</f>
        <v>678</v>
      </c>
      <c r="AH149" s="344"/>
      <c r="AI149" s="343">
        <f>SUM(AI145:AI148)</f>
        <v>728</v>
      </c>
      <c r="AJ149" s="344"/>
      <c r="AK149" s="343">
        <f>SUM(AK145:AK148)</f>
        <v>745</v>
      </c>
      <c r="AL149" s="344"/>
      <c r="AM149" s="343">
        <f>SUM(AM145:AM148)</f>
        <v>728</v>
      </c>
      <c r="AN149" s="344"/>
      <c r="AO149" s="343">
        <f>SUM(AO145:AO148)</f>
        <v>696</v>
      </c>
      <c r="AP149" s="344"/>
      <c r="AQ149" s="343">
        <f>SUM(AQ145:AQ148)</f>
        <v>700</v>
      </c>
      <c r="AR149" s="344"/>
      <c r="AS149" s="343">
        <f>SUM(AS145:AS148)</f>
        <v>651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02.11./03.11.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02.11./03.11.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Regensburg Super Bowl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5">
        <f>IF(AD157="","",AD157)</f>
        <v>0</v>
      </c>
      <c r="F157" s="75">
        <f t="shared" ref="F157:F170" si="174">IF(AE157=0,"",AE157)</f>
        <v>143</v>
      </c>
      <c r="G157" s="345">
        <f>IF(AF157="","",AF157)</f>
        <v>0</v>
      </c>
      <c r="H157" s="75">
        <f t="shared" ref="H157:H170" si="175">IF(AG157=0,"",AG157)</f>
        <v>146</v>
      </c>
      <c r="I157" s="345">
        <f>IF(AH157="","",AH157)</f>
        <v>0</v>
      </c>
      <c r="J157" s="75">
        <f t="shared" ref="J157:J170" si="176">IF(AI157=0,"",AI157)</f>
        <v>150</v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>
        <f t="shared" ref="R157:R170" si="179">IF(AQ157=0,"",AQ157)</f>
        <v>172</v>
      </c>
      <c r="S157" s="345">
        <f>IF(AR157="","",AR157)</f>
        <v>0</v>
      </c>
      <c r="T157" s="75">
        <f t="shared" ref="T157:T170" si="180">IF(AS157=0,"",AS157)</f>
        <v>146</v>
      </c>
      <c r="U157" s="345">
        <f>IF(AT157="","",AT157)</f>
        <v>0</v>
      </c>
      <c r="V157" s="75">
        <f t="shared" ref="V157:V170" si="181">IF(AU157=0,"",AU157)</f>
        <v>933</v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4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>
        <f t="shared" si="177"/>
        <v>144</v>
      </c>
      <c r="M158" s="346"/>
      <c r="N158" s="78">
        <f t="shared" ref="N158:N170" si="194">IF(AM158=0,"",AM158)</f>
        <v>162</v>
      </c>
      <c r="O158" s="346"/>
      <c r="P158" s="78">
        <f t="shared" si="178"/>
        <v>128</v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>
        <f t="shared" si="181"/>
        <v>434</v>
      </c>
      <c r="W158" s="346"/>
      <c r="Z158" s="349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3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5">
        <f>IF(AD160="","",AD160)</f>
        <v>0</v>
      </c>
      <c r="F160" s="75">
        <f t="shared" si="174"/>
        <v>163</v>
      </c>
      <c r="G160" s="345">
        <f>IF(AF160="","",AF160)</f>
        <v>1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1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1</v>
      </c>
      <c r="T160" s="75" t="str">
        <f t="shared" si="180"/>
        <v/>
      </c>
      <c r="U160" s="345">
        <f>IF(AT160="","",AT160)</f>
        <v>1</v>
      </c>
      <c r="V160" s="75">
        <f t="shared" si="181"/>
        <v>291</v>
      </c>
      <c r="W160" s="345">
        <f>IF(AV160="","",AV160)</f>
        <v>4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4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6"/>
      <c r="F161" s="78" t="str">
        <f t="shared" si="174"/>
        <v/>
      </c>
      <c r="G161" s="346"/>
      <c r="H161" s="78">
        <f t="shared" si="175"/>
        <v>158</v>
      </c>
      <c r="I161" s="346"/>
      <c r="J161" s="78">
        <f t="shared" si="176"/>
        <v>160</v>
      </c>
      <c r="K161" s="346"/>
      <c r="L161" s="78">
        <f t="shared" si="177"/>
        <v>135</v>
      </c>
      <c r="M161" s="346"/>
      <c r="N161" s="78">
        <f t="shared" si="194"/>
        <v>151</v>
      </c>
      <c r="O161" s="346"/>
      <c r="P161" s="78">
        <f t="shared" si="178"/>
        <v>160</v>
      </c>
      <c r="Q161" s="346"/>
      <c r="R161" s="78">
        <f t="shared" si="179"/>
        <v>181</v>
      </c>
      <c r="S161" s="346"/>
      <c r="T161" s="78">
        <f t="shared" si="180"/>
        <v>180</v>
      </c>
      <c r="U161" s="346"/>
      <c r="V161" s="78">
        <f t="shared" si="181"/>
        <v>1125</v>
      </c>
      <c r="W161" s="346"/>
      <c r="Z161" s="349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3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5">
        <f>IF(AD163="","",AD163)</f>
        <v>1</v>
      </c>
      <c r="F163" s="75">
        <f t="shared" si="174"/>
        <v>192</v>
      </c>
      <c r="G163" s="345">
        <f>IF(AF163="","",AF163)</f>
        <v>1</v>
      </c>
      <c r="H163" s="75">
        <f t="shared" si="175"/>
        <v>201</v>
      </c>
      <c r="I163" s="345">
        <f>IF(AH163="","",AH163)</f>
        <v>1</v>
      </c>
      <c r="J163" s="75">
        <f t="shared" si="176"/>
        <v>152</v>
      </c>
      <c r="K163" s="345">
        <f>IF(AJ163="","",AJ163)</f>
        <v>0</v>
      </c>
      <c r="L163" s="75">
        <f t="shared" si="177"/>
        <v>162</v>
      </c>
      <c r="M163" s="345">
        <f>IF(AL163="","",AL163)</f>
        <v>1</v>
      </c>
      <c r="N163" s="75">
        <f t="shared" si="194"/>
        <v>141</v>
      </c>
      <c r="O163" s="345">
        <f>IF(AN163="","",AN163)</f>
        <v>0</v>
      </c>
      <c r="P163" s="75">
        <f t="shared" si="178"/>
        <v>212</v>
      </c>
      <c r="Q163" s="345">
        <f>IF(AP163="","",AP163)</f>
        <v>1</v>
      </c>
      <c r="R163" s="75">
        <f t="shared" si="179"/>
        <v>201</v>
      </c>
      <c r="S163" s="345">
        <f>IF(AR163="","",AR163)</f>
        <v>1</v>
      </c>
      <c r="T163" s="75">
        <f t="shared" si="180"/>
        <v>183</v>
      </c>
      <c r="U163" s="345">
        <f>IF(AT163="","",AT163)</f>
        <v>0</v>
      </c>
      <c r="V163" s="75">
        <f t="shared" si="181"/>
        <v>1613</v>
      </c>
      <c r="W163" s="345">
        <f>IF(AV163="","",AV163)</f>
        <v>6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3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5">
        <f>IF(AD166="","",AD166)</f>
        <v>1</v>
      </c>
      <c r="F166" s="75">
        <f t="shared" si="174"/>
        <v>180</v>
      </c>
      <c r="G166" s="345">
        <f>IF(AF166="","",AF166)</f>
        <v>1</v>
      </c>
      <c r="H166" s="75">
        <f t="shared" si="175"/>
        <v>173</v>
      </c>
      <c r="I166" s="345">
        <f>IF(AH166="","",AH166)</f>
        <v>0</v>
      </c>
      <c r="J166" s="75">
        <f t="shared" si="176"/>
        <v>186</v>
      </c>
      <c r="K166" s="345">
        <f>IF(AJ166="","",AJ166)</f>
        <v>0</v>
      </c>
      <c r="L166" s="75">
        <f t="shared" si="177"/>
        <v>171</v>
      </c>
      <c r="M166" s="345">
        <f>IF(AL166="","",AL166)</f>
        <v>0</v>
      </c>
      <c r="N166" s="75">
        <f t="shared" si="194"/>
        <v>194</v>
      </c>
      <c r="O166" s="345">
        <f>IF(AN166="","",AN166)</f>
        <v>1</v>
      </c>
      <c r="P166" s="75">
        <f t="shared" si="178"/>
        <v>184</v>
      </c>
      <c r="Q166" s="345">
        <f>IF(AP166="","",AP166)</f>
        <v>1</v>
      </c>
      <c r="R166" s="75">
        <f t="shared" si="179"/>
        <v>204</v>
      </c>
      <c r="S166" s="345">
        <f>IF(AR166="","",AR166)</f>
        <v>1</v>
      </c>
      <c r="T166" s="75">
        <f t="shared" si="180"/>
        <v>213</v>
      </c>
      <c r="U166" s="345">
        <f>IF(AT166="","",AT166)</f>
        <v>0.5</v>
      </c>
      <c r="V166" s="75">
        <f t="shared" si="181"/>
        <v>1710</v>
      </c>
      <c r="W166" s="345">
        <f>IF(AV166="","",AV166)</f>
        <v>5.5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5.5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0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21.5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21.5</v>
      </c>
      <c r="AW170" s="101"/>
      <c r="AX170" s="102"/>
      <c r="BA170" s="212">
        <f>+AV170</f>
        <v>21.5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21.506105999999999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10</v>
      </c>
      <c r="E172" s="353" t="str">
        <f t="shared" si="205"/>
        <v/>
      </c>
      <c r="F172" s="353">
        <f t="shared" si="205"/>
        <v>9</v>
      </c>
      <c r="G172" s="353" t="str">
        <f t="shared" si="205"/>
        <v/>
      </c>
      <c r="H172" s="353">
        <f t="shared" si="205"/>
        <v>5</v>
      </c>
      <c r="I172" s="353" t="str">
        <f t="shared" si="205"/>
        <v/>
      </c>
      <c r="J172" s="353">
        <f t="shared" si="205"/>
        <v>3</v>
      </c>
      <c r="K172" s="353" t="str">
        <f t="shared" si="205"/>
        <v/>
      </c>
      <c r="L172" s="353">
        <f t="shared" si="205"/>
        <v>4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1</v>
      </c>
      <c r="Q172" s="353" t="str">
        <f t="shared" si="205"/>
        <v/>
      </c>
      <c r="R172" s="353">
        <f t="shared" ref="N172:U174" si="206">IF(AQ172=0,"",AQ172)</f>
        <v>7</v>
      </c>
      <c r="S172" s="353" t="str">
        <f t="shared" si="206"/>
        <v/>
      </c>
      <c r="T172" s="353">
        <f t="shared" si="206"/>
        <v>2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VLOOKUP($AA152,Schlüssel!$A$5:$DG$14,23)</f>
        <v>10</v>
      </c>
      <c r="AD172" s="368"/>
      <c r="AE172" s="367">
        <f>VLOOKUP($AA152,Schlüssel!$A$5:$EK$14,24)</f>
        <v>9</v>
      </c>
      <c r="AF172" s="368"/>
      <c r="AG172" s="367">
        <f>VLOOKUP($AA152,Schlüssel!$A$5:$EK$14,25)</f>
        <v>5</v>
      </c>
      <c r="AH172" s="368"/>
      <c r="AI172" s="367">
        <f>VLOOKUP($AA152,Schlüssel!$A$5:$EK$14,26)</f>
        <v>3</v>
      </c>
      <c r="AJ172" s="368"/>
      <c r="AK172" s="367">
        <f>VLOOKUP($AA152,Schlüssel!$A$5:$EK$14,27)</f>
        <v>4</v>
      </c>
      <c r="AL172" s="368"/>
      <c r="AM172" s="367">
        <f>VLOOKUP($AA152,Schlüssel!$A$5:$EK$14,28)</f>
        <v>8</v>
      </c>
      <c r="AN172" s="368"/>
      <c r="AO172" s="367">
        <f>VLOOKUP($AA152,Schlüssel!$A$5:$EK$14,29)</f>
        <v>1</v>
      </c>
      <c r="AP172" s="368"/>
      <c r="AQ172" s="367">
        <f>VLOOKUP($AA152,Schlüssel!$A$5:$EK$14,30)</f>
        <v>7</v>
      </c>
      <c r="AR172" s="368"/>
      <c r="AS172" s="367">
        <f>VLOOKUP($AA152,Schlüssel!$A$5:$EK$14,31)</f>
        <v>2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5" t="str">
        <f t="shared" si="207"/>
        <v>BK München 4</v>
      </c>
      <c r="E173" s="356" t="str">
        <f t="shared" si="207"/>
        <v/>
      </c>
      <c r="F173" s="355" t="str">
        <f t="shared" si="207"/>
        <v>RW Lichtenhof 69 Stein 2</v>
      </c>
      <c r="G173" s="356" t="str">
        <f t="shared" si="207"/>
        <v/>
      </c>
      <c r="H173" s="355" t="str">
        <f t="shared" si="207"/>
        <v xml:space="preserve">Weiß Blau Unterföhring </v>
      </c>
      <c r="I173" s="356" t="str">
        <f t="shared" si="207"/>
        <v/>
      </c>
      <c r="J173" s="355" t="str">
        <f t="shared" si="207"/>
        <v>Highroller Rosenheim</v>
      </c>
      <c r="K173" s="356" t="str">
        <f t="shared" si="207"/>
        <v/>
      </c>
      <c r="L173" s="355" t="str">
        <f t="shared" si="207"/>
        <v>BK München 3</v>
      </c>
      <c r="M173" s="356" t="str">
        <f t="shared" si="207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Praetoria Regensburg</v>
      </c>
      <c r="Q173" s="356" t="str">
        <f t="shared" si="206"/>
        <v/>
      </c>
      <c r="R173" s="355" t="str">
        <f t="shared" si="206"/>
        <v>Frankenpower Nürnberg</v>
      </c>
      <c r="S173" s="356" t="str">
        <f t="shared" si="206"/>
        <v/>
      </c>
      <c r="T173" s="355" t="str">
        <f t="shared" si="206"/>
        <v>BK München 2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BK München 4</v>
      </c>
      <c r="AD173" s="356"/>
      <c r="AE173" s="355" t="str">
        <f>VLOOKUP(AE172,Schlüssel!$A$5:$K$14,2)</f>
        <v>RW Lichtenhof 69 Stein 2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Praetoria Regensburg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7"/>
        <v/>
      </c>
      <c r="M174" s="357" t="str">
        <f t="shared" si="207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237</v>
      </c>
      <c r="E175" s="359" t="str">
        <f>IF(AD175=0,"",AD175)</f>
        <v/>
      </c>
      <c r="F175" s="359">
        <f>IF(AE175=301,"",AE175)</f>
        <v>155</v>
      </c>
      <c r="G175" s="359" t="str">
        <f>IF(AF175=0,"",AF175)</f>
        <v/>
      </c>
      <c r="H175" s="359">
        <f>IF(AG175=301,"",AG175)</f>
        <v>171</v>
      </c>
      <c r="I175" s="359" t="str">
        <f>IF(AH175=0,"",AH175)</f>
        <v/>
      </c>
      <c r="J175" s="359">
        <f>IF(AI175=301,"",AI175)</f>
        <v>155</v>
      </c>
      <c r="K175" s="359" t="str">
        <f>IF(AJ175=0,"",AJ175)</f>
        <v/>
      </c>
      <c r="L175" s="359">
        <f>IF(AK175=301,"",AK175)</f>
        <v>180</v>
      </c>
      <c r="M175" s="359" t="str">
        <f>IF(AL175=0,"",AL175)</f>
        <v/>
      </c>
      <c r="N175" s="359">
        <f>IF(AM175=301,"",AM175)</f>
        <v>214</v>
      </c>
      <c r="O175" s="359" t="str">
        <f>IF(AN175=0,"",AN175)</f>
        <v/>
      </c>
      <c r="P175" s="359">
        <f>IF(AO175=301,"",AO175)</f>
        <v>192</v>
      </c>
      <c r="Q175" s="359" t="str">
        <f>IF(AP175=0,"",AP175)</f>
        <v/>
      </c>
      <c r="R175" s="359">
        <f>IF(AQ175=301,"",AQ175)</f>
        <v>186</v>
      </c>
      <c r="S175" s="359" t="str">
        <f>IF(AR175=0,"",AR175)</f>
        <v/>
      </c>
      <c r="T175" s="359">
        <f>IF(AS175=301,"",AS175)</f>
        <v>148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237</v>
      </c>
      <c r="AD175" s="366"/>
      <c r="AE175" s="365">
        <f>ABS(INDEX(AE:AE,MATCH(AE172,$AA:$AA,0)+5)+INDEX(AE:AE,MATCH(AE172,$AA:$AA,0)+6)+INDEX(AE:AE,MATCH(AE172,$AA:$AA,0)+7))</f>
        <v>155</v>
      </c>
      <c r="AF175" s="366"/>
      <c r="AG175" s="365">
        <f>ABS(INDEX(AG:AG,MATCH(AG172,$AA:$AA,0)+5)+INDEX(AG:AG,MATCH(AG172,$AA:$AA,0)+6)+INDEX(AG:AG,MATCH(AG172,$AA:$AA,0)+7))</f>
        <v>171</v>
      </c>
      <c r="AH175" s="366"/>
      <c r="AI175" s="365">
        <f>ABS(INDEX(AI:AI,MATCH(AI172,$AA:$AA,0)+5)+INDEX(AI:AI,MATCH(AI172,$AA:$AA,0)+6)+INDEX(AI:AI,MATCH(AI172,$AA:$AA,0)+7))</f>
        <v>155</v>
      </c>
      <c r="AJ175" s="366"/>
      <c r="AK175" s="365">
        <f>ABS(INDEX(AK:AK,MATCH(AK172,$AA:$AA,0)+5)+INDEX(AK:AK,MATCH(AK172,$AA:$AA,0)+6)+INDEX(AK:AK,MATCH(AK172,$AA:$AA,0)+7))</f>
        <v>180</v>
      </c>
      <c r="AL175" s="366"/>
      <c r="AM175" s="365">
        <f>ABS(INDEX(AM:AM,MATCH(AM172,$AA:$AA,0)+5)+INDEX(AM:AM,MATCH(AM172,$AA:$AA,0)+6)+INDEX(AM:AM,MATCH(AM172,$AA:$AA,0)+7))</f>
        <v>214</v>
      </c>
      <c r="AN175" s="366"/>
      <c r="AO175" s="365">
        <f>ABS(INDEX(AO:AO,MATCH(AO172,$AA:$AA,0)+5)+INDEX(AO:AO,MATCH(AO172,$AA:$AA,0)+6)+INDEX(AO:AO,MATCH(AO172,$AA:$AA,0)+7))</f>
        <v>192</v>
      </c>
      <c r="AP175" s="366"/>
      <c r="AQ175" s="365">
        <f>ABS(INDEX(AQ:AQ,MATCH(AQ172,$AA:$AA,0)+5)+INDEX(AQ:AQ,MATCH(AQ172,$AA:$AA,0)+6)+INDEX(AQ:AQ,MATCH(AQ172,$AA:$AA,0)+7))</f>
        <v>186</v>
      </c>
      <c r="AR175" s="366"/>
      <c r="AS175" s="365">
        <f>ABS(INDEX(AS:AS,MATCH(AS172,$AA:$AA,0)+5)+INDEX(AS:AS,MATCH(AS172,$AA:$AA,0)+6)+INDEX(AS:AS,MATCH(AS172,$AA:$AA,0)+7))</f>
        <v>148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208</v>
      </c>
      <c r="E176" s="359" t="str">
        <f>IF(AD176=0,"",AD176)</f>
        <v/>
      </c>
      <c r="F176" s="359">
        <f>IF(AE176=301,"",AE176)</f>
        <v>151</v>
      </c>
      <c r="G176" s="359" t="str">
        <f>IF(AF176=0,"",AF176)</f>
        <v/>
      </c>
      <c r="H176" s="359">
        <f>IF(AG176=301,"",AG176)</f>
        <v>180</v>
      </c>
      <c r="I176" s="359" t="str">
        <f>IF(AH176=0,"",AH176)</f>
        <v/>
      </c>
      <c r="J176" s="359">
        <f>IF(AI176=301,"",AI176)</f>
        <v>162</v>
      </c>
      <c r="K176" s="359" t="str">
        <f>IF(AJ176=0,"",AJ176)</f>
        <v/>
      </c>
      <c r="L176" s="359">
        <f>IF(AK176=301,"",AK176)</f>
        <v>224</v>
      </c>
      <c r="M176" s="359" t="str">
        <f>IF(AL176=0,"",AL176)</f>
        <v/>
      </c>
      <c r="N176" s="359">
        <f>IF(AM176=301,"",AM176)</f>
        <v>146</v>
      </c>
      <c r="O176" s="359" t="str">
        <f>IF(AN176=0,"",AN176)</f>
        <v/>
      </c>
      <c r="P176" s="359">
        <f>IF(AO176=301,"",AO176)</f>
        <v>191</v>
      </c>
      <c r="Q176" s="359" t="str">
        <f>IF(AP176=0,"",AP176)</f>
        <v/>
      </c>
      <c r="R176" s="359">
        <f>IF(AQ176=301,"",AQ176)</f>
        <v>166</v>
      </c>
      <c r="S176" s="359" t="str">
        <f>IF(AR176=0,"",AR176)</f>
        <v/>
      </c>
      <c r="T176" s="359">
        <f>IF(AS176=301,"",AS176)</f>
        <v>177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208</v>
      </c>
      <c r="AD176" s="364"/>
      <c r="AE176" s="363">
        <f>ABS(INDEX(AE:AE,MATCH(AE172,$AA:$AA,0)+8)+INDEX(AE:AE,MATCH(AE172,$AA:$AA,0)+9)+INDEX(AE:AE,MATCH(AE172,$AA:$AA,0)+10))</f>
        <v>151</v>
      </c>
      <c r="AF176" s="364"/>
      <c r="AG176" s="363">
        <f>ABS(INDEX(AG:AG,MATCH(AG172,$AA:$AA,0)+8)+INDEX(AG:AG,MATCH(AG172,$AA:$AA,0)+9)+INDEX(AG:AG,MATCH(AG172,$AA:$AA,0)+10))</f>
        <v>180</v>
      </c>
      <c r="AH176" s="364"/>
      <c r="AI176" s="363">
        <f>ABS(INDEX(AI:AI,MATCH(AI172,$AA:$AA,0)+8)+INDEX(AI:AI,MATCH(AI172,$AA:$AA,0)+9)+INDEX(AI:AI,MATCH(AI172,$AA:$AA,0)+10))</f>
        <v>162</v>
      </c>
      <c r="AJ176" s="364"/>
      <c r="AK176" s="363">
        <f>ABS(INDEX(AK:AK,MATCH(AK172,$AA:$AA,0)+8)+INDEX(AK:AK,MATCH(AK172,$AA:$AA,0)+9)+INDEX(AK:AK,MATCH(AK172,$AA:$AA,0)+10))</f>
        <v>224</v>
      </c>
      <c r="AL176" s="364"/>
      <c r="AM176" s="363">
        <f>ABS(INDEX(AM:AM,MATCH(AM172,$AA:$AA,0)+8)+INDEX(AM:AM,MATCH(AM172,$AA:$AA,0)+9)+INDEX(AM:AM,MATCH(AM172,$AA:$AA,0)+10))</f>
        <v>146</v>
      </c>
      <c r="AN176" s="364"/>
      <c r="AO176" s="363">
        <f>ABS(INDEX(AO:AO,MATCH(AO172,$AA:$AA,0)+8)+INDEX(AO:AO,MATCH(AO172,$AA:$AA,0)+9)+INDEX(AO:AO,MATCH(AO172,$AA:$AA,0)+10))</f>
        <v>191</v>
      </c>
      <c r="AP176" s="364"/>
      <c r="AQ176" s="363">
        <f>ABS(INDEX(AQ:AQ,MATCH(AQ172,$AA:$AA,0)+8)+INDEX(AQ:AQ,MATCH(AQ172,$AA:$AA,0)+9)+INDEX(AQ:AQ,MATCH(AQ172,$AA:$AA,0)+10))</f>
        <v>166</v>
      </c>
      <c r="AR176" s="364"/>
      <c r="AS176" s="363">
        <f>ABS(INDEX(AS:AS,MATCH(AS172,$AA:$AA,0)+8)+INDEX(AS:AS,MATCH(AS172,$AA:$AA,0)+9)+INDEX(AS:AS,MATCH(AS172,$AA:$AA,0)+10))</f>
        <v>177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157</v>
      </c>
      <c r="E177" s="359" t="str">
        <f>IF(AD177=0,"",AD177)</f>
        <v/>
      </c>
      <c r="F177" s="359">
        <f>IF(AE177=301,"",AE177)</f>
        <v>135</v>
      </c>
      <c r="G177" s="359" t="str">
        <f>IF(AF177=0,"",AF177)</f>
        <v/>
      </c>
      <c r="H177" s="359">
        <f>IF(AG177=301,"",AG177)</f>
        <v>150</v>
      </c>
      <c r="I177" s="359" t="str">
        <f>IF(AH177=0,"",AH177)</f>
        <v/>
      </c>
      <c r="J177" s="359">
        <f>IF(AI177=301,"",AI177)</f>
        <v>172</v>
      </c>
      <c r="K177" s="359" t="str">
        <f>IF(AJ177=0,"",AJ177)</f>
        <v/>
      </c>
      <c r="L177" s="359">
        <f>IF(AK177=301,"",AK177)</f>
        <v>138</v>
      </c>
      <c r="M177" s="359" t="str">
        <f>IF(AL177=0,"",AL177)</f>
        <v/>
      </c>
      <c r="N177" s="359">
        <f>IF(AM177=301,"",AM177)</f>
        <v>175</v>
      </c>
      <c r="O177" s="359" t="str">
        <f>IF(AN177=0,"",AN177)</f>
        <v/>
      </c>
      <c r="P177" s="359">
        <f>IF(AO177=301,"",AO177)</f>
        <v>149</v>
      </c>
      <c r="Q177" s="359" t="str">
        <f>IF(AP177=0,"",AP177)</f>
        <v/>
      </c>
      <c r="R177" s="359">
        <f>IF(AQ177=301,"",AQ177)</f>
        <v>142</v>
      </c>
      <c r="S177" s="359" t="str">
        <f>IF(AR177=0,"",AR177)</f>
        <v/>
      </c>
      <c r="T177" s="359">
        <f>IF(AS177=301,"",AS177)</f>
        <v>222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157</v>
      </c>
      <c r="AD177" s="364"/>
      <c r="AE177" s="363">
        <f>ABS(INDEX(AE:AE,MATCH(AE172,$AA:$AA,0)+11)+INDEX(AE:AE,MATCH(AE172,$AA:$AA,0)+12)+INDEX(AE:AE,MATCH(AE172,$AA:$AA,0)+13))</f>
        <v>135</v>
      </c>
      <c r="AF177" s="364"/>
      <c r="AG177" s="363">
        <f>ABS(INDEX(AG:AG,MATCH(AG172,$AA:$AA,0)+11)+INDEX(AG:AG,MATCH(AG172,$AA:$AA,0)+12)+INDEX(AG:AG,MATCH(AG172,$AA:$AA,0)+13))</f>
        <v>150</v>
      </c>
      <c r="AH177" s="364"/>
      <c r="AI177" s="363">
        <f>ABS(INDEX(AI:AI,MATCH(AI172,$AA:$AA,0)+11)+INDEX(AI:AI,MATCH(AI172,$AA:$AA,0)+12)+INDEX(AI:AI,MATCH(AI172,$AA:$AA,0)+13))</f>
        <v>172</v>
      </c>
      <c r="AJ177" s="364"/>
      <c r="AK177" s="363">
        <f>ABS(INDEX(AK:AK,MATCH(AK172,$AA:$AA,0)+11)+INDEX(AK:AK,MATCH(AK172,$AA:$AA,0)+12)+INDEX(AK:AK,MATCH(AK172,$AA:$AA,0)+13))</f>
        <v>138</v>
      </c>
      <c r="AL177" s="364"/>
      <c r="AM177" s="363">
        <f>ABS(INDEX(AM:AM,MATCH(AM172,$AA:$AA,0)+11)+INDEX(AM:AM,MATCH(AM172,$AA:$AA,0)+12)+INDEX(AM:AM,MATCH(AM172,$AA:$AA,0)+13))</f>
        <v>175</v>
      </c>
      <c r="AN177" s="364"/>
      <c r="AO177" s="363">
        <f>ABS(INDEX(AO:AO,MATCH(AO172,$AA:$AA,0)+11)+INDEX(AO:AO,MATCH(AO172,$AA:$AA,0)+12)+INDEX(AO:AO,MATCH(AO172,$AA:$AA,0)+13))</f>
        <v>149</v>
      </c>
      <c r="AP177" s="364"/>
      <c r="AQ177" s="363">
        <f>ABS(INDEX(AQ:AQ,MATCH(AQ172,$AA:$AA,0)+11)+INDEX(AQ:AQ,MATCH(AQ172,$AA:$AA,0)+12)+INDEX(AQ:AQ,MATCH(AQ172,$AA:$AA,0)+13))</f>
        <v>142</v>
      </c>
      <c r="AR177" s="364"/>
      <c r="AS177" s="363">
        <f>ABS(INDEX(AS:AS,MATCH(AS172,$AA:$AA,0)+11)+INDEX(AS:AS,MATCH(AS172,$AA:$AA,0)+12)+INDEX(AS:AS,MATCH(AS172,$AA:$AA,0)+13))</f>
        <v>222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186</v>
      </c>
      <c r="E178" s="359" t="str">
        <f>IF(AD178=0,"",AD178)</f>
        <v/>
      </c>
      <c r="F178" s="359">
        <f>IF(AE178=301,"",AE178)</f>
        <v>177</v>
      </c>
      <c r="G178" s="359" t="str">
        <f>IF(AF178=0,"",AF178)</f>
        <v/>
      </c>
      <c r="H178" s="359">
        <f>IF(AG178=301,"",AG178)</f>
        <v>181</v>
      </c>
      <c r="I178" s="359" t="str">
        <f>IF(AH178=0,"",AH178)</f>
        <v/>
      </c>
      <c r="J178" s="359">
        <f>IF(AI178=301,"",AI178)</f>
        <v>191</v>
      </c>
      <c r="K178" s="359" t="str">
        <f>IF(AJ178=0,"",AJ178)</f>
        <v/>
      </c>
      <c r="L178" s="359">
        <f>IF(AK178=301,"",AK178)</f>
        <v>209</v>
      </c>
      <c r="M178" s="359" t="str">
        <f>IF(AL178=0,"",AL178)</f>
        <v/>
      </c>
      <c r="N178" s="359">
        <f>IF(AM178=301,"",AM178)</f>
        <v>148</v>
      </c>
      <c r="O178" s="359" t="str">
        <f>IF(AN178=0,"",AN178)</f>
        <v/>
      </c>
      <c r="P178" s="359">
        <f>IF(AO178=301,"",AO178)</f>
        <v>150</v>
      </c>
      <c r="Q178" s="359" t="str">
        <f>IF(AP178=0,"",AP178)</f>
        <v/>
      </c>
      <c r="R178" s="359">
        <f>IF(AQ178=301,"",AQ178)</f>
        <v>167</v>
      </c>
      <c r="S178" s="359" t="str">
        <f>IF(AR178=0,"",AR178)</f>
        <v/>
      </c>
      <c r="T178" s="359">
        <f>IF(AS178=301,"",AS178)</f>
        <v>213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186</v>
      </c>
      <c r="AD178" s="364"/>
      <c r="AE178" s="363">
        <f>ABS(INDEX(AE:AE,MATCH(AE172,$AA:$AA,0)+14)+INDEX(AE:AE,MATCH(AE172,$AA:$AA,0)+15)+INDEX(AE:AE,MATCH(AE172,$AA:$AA,0)+16))</f>
        <v>177</v>
      </c>
      <c r="AF178" s="364"/>
      <c r="AG178" s="363">
        <f>ABS(INDEX(AG:AG,MATCH(AG172,$AA:$AA,0)+14)+INDEX(AG:AG,MATCH(AG172,$AA:$AA,0)+15)+INDEX(AG:AG,MATCH(AG172,$AA:$AA,0)+16))</f>
        <v>181</v>
      </c>
      <c r="AH178" s="364"/>
      <c r="AI178" s="363">
        <f>ABS(INDEX(AI:AI,MATCH(AI172,$AA:$AA,0)+14)+INDEX(AI:AI,MATCH(AI172,$AA:$AA,0)+15)+INDEX(AI:AI,MATCH(AI172,$AA:$AA,0)+16))</f>
        <v>191</v>
      </c>
      <c r="AJ178" s="364"/>
      <c r="AK178" s="363">
        <f>ABS(INDEX(AK:AK,MATCH(AK172,$AA:$AA,0)+14)+INDEX(AK:AK,MATCH(AK172,$AA:$AA,0)+15)+INDEX(AK:AK,MATCH(AK172,$AA:$AA,0)+16))</f>
        <v>209</v>
      </c>
      <c r="AL178" s="364"/>
      <c r="AM178" s="363">
        <f>ABS(INDEX(AM:AM,MATCH(AM172,$AA:$AA,0)+14)+INDEX(AM:AM,MATCH(AM172,$AA:$AA,0)+15)+INDEX(AM:AM,MATCH(AM172,$AA:$AA,0)+16))</f>
        <v>148</v>
      </c>
      <c r="AN178" s="364"/>
      <c r="AO178" s="363">
        <f>ABS(INDEX(AO:AO,MATCH(AO172,$AA:$AA,0)+14)+INDEX(AO:AO,MATCH(AO172,$AA:$AA,0)+15)+INDEX(AO:AO,MATCH(AO172,$AA:$AA,0)+16))</f>
        <v>150</v>
      </c>
      <c r="AP178" s="364"/>
      <c r="AQ178" s="363">
        <f>ABS(INDEX(AQ:AQ,MATCH(AQ172,$AA:$AA,0)+14)+INDEX(AQ:AQ,MATCH(AQ172,$AA:$AA,0)+15)+INDEX(AQ:AQ,MATCH(AQ172,$AA:$AA,0)+16))</f>
        <v>167</v>
      </c>
      <c r="AR178" s="364"/>
      <c r="AS178" s="363">
        <f>ABS(INDEX(AS:AS,MATCH(AS172,$AA:$AA,0)+14)+INDEX(AS:AS,MATCH(AS172,$AA:$AA,0)+15)+INDEX(AS:AS,MATCH(AS172,$AA:$AA,0)+16))</f>
        <v>213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788</v>
      </c>
      <c r="E179" s="362" t="str">
        <f>IF(AD179=0,"",AD179)</f>
        <v/>
      </c>
      <c r="F179" s="362">
        <f>IF(AE179=1505,"",AE179)</f>
        <v>618</v>
      </c>
      <c r="G179" s="362" t="str">
        <f>IF(AF179=0,"",AF179)</f>
        <v/>
      </c>
      <c r="H179" s="362">
        <f>IF(AG179=1505,"",AG179)</f>
        <v>682</v>
      </c>
      <c r="I179" s="362" t="str">
        <f>IF(AH179=0,"",AH179)</f>
        <v/>
      </c>
      <c r="J179" s="362">
        <f>IF(AI179=1505,"",AI179)</f>
        <v>680</v>
      </c>
      <c r="K179" s="362" t="str">
        <f>IF(AJ179=0,"",AJ179)</f>
        <v/>
      </c>
      <c r="L179" s="362">
        <f>IF(AK179=1505,"",AK179)</f>
        <v>751</v>
      </c>
      <c r="M179" s="362" t="str">
        <f>IF(AL179=0,"",AL179)</f>
        <v/>
      </c>
      <c r="N179" s="362">
        <f>IF(AM179=1505,"",AM179)</f>
        <v>683</v>
      </c>
      <c r="O179" s="362" t="str">
        <f>IF(AN179=0,"",AN179)</f>
        <v/>
      </c>
      <c r="P179" s="362">
        <f>IF(AO179=1505,"",AO179)</f>
        <v>682</v>
      </c>
      <c r="Q179" s="362" t="str">
        <f>IF(AP179=0,"",AP179)</f>
        <v/>
      </c>
      <c r="R179" s="362">
        <f>IF(AQ179=1505,"",AQ179)</f>
        <v>661</v>
      </c>
      <c r="S179" s="362" t="str">
        <f>IF(AR179=0,"",AR179)</f>
        <v/>
      </c>
      <c r="T179" s="362">
        <f>IF(AS179=1505,"",AS179)</f>
        <v>760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788</v>
      </c>
      <c r="AD179" s="344"/>
      <c r="AE179" s="343">
        <f>SUM(AE175:AE178)</f>
        <v>618</v>
      </c>
      <c r="AF179" s="344"/>
      <c r="AG179" s="343">
        <f>SUM(AG175:AG178)</f>
        <v>682</v>
      </c>
      <c r="AH179" s="344"/>
      <c r="AI179" s="343">
        <f>SUM(AI175:AI178)</f>
        <v>680</v>
      </c>
      <c r="AJ179" s="344"/>
      <c r="AK179" s="343">
        <f>SUM(AK175:AK178)</f>
        <v>751</v>
      </c>
      <c r="AL179" s="344"/>
      <c r="AM179" s="343">
        <f>SUM(AM175:AM178)</f>
        <v>683</v>
      </c>
      <c r="AN179" s="344"/>
      <c r="AO179" s="343">
        <f>SUM(AO175:AO178)</f>
        <v>682</v>
      </c>
      <c r="AP179" s="344"/>
      <c r="AQ179" s="343">
        <f>SUM(AQ175:AQ178)</f>
        <v>661</v>
      </c>
      <c r="AR179" s="344"/>
      <c r="AS179" s="343">
        <f>SUM(AS175:AS178)</f>
        <v>760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02.11./03.11.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02.11./03.11.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Regensburg Super Bowl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5">
        <f>IF(AD187="","",AD187)</f>
        <v>0</v>
      </c>
      <c r="F187" s="75">
        <f t="shared" ref="F187:F200" si="209">IF(AE187=0,"",AE187)</f>
        <v>169</v>
      </c>
      <c r="G187" s="345">
        <f>IF(AF187="","",AF187)</f>
        <v>0</v>
      </c>
      <c r="H187" s="75">
        <f t="shared" ref="H187:H200" si="210">IF(AG187=0,"",AG187)</f>
        <v>182</v>
      </c>
      <c r="I187" s="345">
        <f>IF(AH187="","",AH187)</f>
        <v>1</v>
      </c>
      <c r="J187" s="75">
        <f t="shared" ref="J187:J200" si="211">IF(AI187=0,"",AI187)</f>
        <v>176</v>
      </c>
      <c r="K187" s="345">
        <f>IF(AJ187="","",AJ187)</f>
        <v>1</v>
      </c>
      <c r="L187" s="75">
        <f t="shared" ref="L187:L200" si="212">IF(AK187=0,"",AK187)</f>
        <v>168</v>
      </c>
      <c r="M187" s="345">
        <f>IF(AL187="","",AL187)</f>
        <v>0</v>
      </c>
      <c r="N187" s="75">
        <f>IF(AM187=0,"",AM187)</f>
        <v>196</v>
      </c>
      <c r="O187" s="345">
        <f>IF(AN187="","",AN187)</f>
        <v>1</v>
      </c>
      <c r="P187" s="75">
        <f t="shared" ref="P187:P200" si="213">IF(AO187=0,"",AO187)</f>
        <v>167</v>
      </c>
      <c r="Q187" s="345">
        <f>IF(AP187="","",AP187)</f>
        <v>0</v>
      </c>
      <c r="R187" s="75">
        <f t="shared" ref="R187:R200" si="214">IF(AQ187=0,"",AQ187)</f>
        <v>186</v>
      </c>
      <c r="S187" s="345">
        <f>IF(AR187="","",AR187)</f>
        <v>1</v>
      </c>
      <c r="T187" s="75">
        <f t="shared" ref="T187:T200" si="215">IF(AS187=0,"",AS187)</f>
        <v>175</v>
      </c>
      <c r="U187" s="345">
        <f>IF(AT187="","",AT187)</f>
        <v>1</v>
      </c>
      <c r="V187" s="75">
        <f t="shared" ref="V187:V200" si="216">IF(AU187=0,"",AU187)</f>
        <v>1584</v>
      </c>
      <c r="W187" s="345">
        <f>IF(AV187="","",AV187)</f>
        <v>5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3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5">
        <f>IF(AD190="","",AD190)</f>
        <v>0</v>
      </c>
      <c r="F190" s="75">
        <f t="shared" si="209"/>
        <v>163</v>
      </c>
      <c r="G190" s="345">
        <f>IF(AF190="","",AF190)</f>
        <v>0</v>
      </c>
      <c r="H190" s="75">
        <f t="shared" si="210"/>
        <v>170</v>
      </c>
      <c r="I190" s="345">
        <f>IF(AH190="","",AH190)</f>
        <v>0</v>
      </c>
      <c r="J190" s="75">
        <f t="shared" si="211"/>
        <v>202</v>
      </c>
      <c r="K190" s="345">
        <f>IF(AJ190="","",AJ190)</f>
        <v>1</v>
      </c>
      <c r="L190" s="75">
        <f t="shared" si="212"/>
        <v>161</v>
      </c>
      <c r="M190" s="345">
        <f>IF(AL190="","",AL190)</f>
        <v>1</v>
      </c>
      <c r="N190" s="75">
        <f t="shared" si="229"/>
        <v>183</v>
      </c>
      <c r="O190" s="345">
        <f>IF(AN190="","",AN190)</f>
        <v>0</v>
      </c>
      <c r="P190" s="75">
        <f t="shared" si="213"/>
        <v>162</v>
      </c>
      <c r="Q190" s="345">
        <f>IF(AP190="","",AP190)</f>
        <v>0</v>
      </c>
      <c r="R190" s="75">
        <f t="shared" si="214"/>
        <v>166</v>
      </c>
      <c r="S190" s="345">
        <f>IF(AR190="","",AR190)</f>
        <v>0</v>
      </c>
      <c r="T190" s="75">
        <f t="shared" si="215"/>
        <v>150</v>
      </c>
      <c r="U190" s="345">
        <f>IF(AT190="","",AT190)</f>
        <v>1</v>
      </c>
      <c r="V190" s="75">
        <f t="shared" si="216"/>
        <v>1514</v>
      </c>
      <c r="W190" s="345">
        <f>IF(AV190="","",AV190)</f>
        <v>3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3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5">
        <f>IF(AD193="","",AD193)</f>
        <v>1</v>
      </c>
      <c r="F193" s="75">
        <f t="shared" si="209"/>
        <v>181</v>
      </c>
      <c r="G193" s="345">
        <f>IF(AF193="","",AF193)</f>
        <v>1</v>
      </c>
      <c r="H193" s="75">
        <f t="shared" si="210"/>
        <v>169</v>
      </c>
      <c r="I193" s="345">
        <f>IF(AH193="","",AH193)</f>
        <v>1</v>
      </c>
      <c r="J193" s="75">
        <f t="shared" si="211"/>
        <v>153</v>
      </c>
      <c r="K193" s="345">
        <f>IF(AJ193="","",AJ193)</f>
        <v>0</v>
      </c>
      <c r="L193" s="75">
        <f t="shared" si="212"/>
        <v>236</v>
      </c>
      <c r="M193" s="345">
        <f>IF(AL193="","",AL193)</f>
        <v>1</v>
      </c>
      <c r="N193" s="75">
        <f t="shared" si="229"/>
        <v>146</v>
      </c>
      <c r="O193" s="345">
        <f>IF(AN193="","",AN193)</f>
        <v>0</v>
      </c>
      <c r="P193" s="75">
        <f t="shared" si="213"/>
        <v>150</v>
      </c>
      <c r="Q193" s="345">
        <f>IF(AP193="","",AP193)</f>
        <v>0</v>
      </c>
      <c r="R193" s="75">
        <f t="shared" si="214"/>
        <v>142</v>
      </c>
      <c r="S193" s="345">
        <f>IF(AR193="","",AR193)</f>
        <v>0</v>
      </c>
      <c r="T193" s="75">
        <f t="shared" si="215"/>
        <v>213</v>
      </c>
      <c r="U193" s="345">
        <f>IF(AT193="","",AT193)</f>
        <v>1</v>
      </c>
      <c r="V193" s="75">
        <f t="shared" si="216"/>
        <v>1571</v>
      </c>
      <c r="W193" s="345">
        <f>IF(AV193="","",AV193)</f>
        <v>5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3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5">
        <f>IF(AD196="","",AD196)</f>
        <v>1</v>
      </c>
      <c r="F196" s="75">
        <f t="shared" si="209"/>
        <v>155</v>
      </c>
      <c r="G196" s="345">
        <f>IF(AF196="","",AF196)</f>
        <v>0</v>
      </c>
      <c r="H196" s="75">
        <f t="shared" si="210"/>
        <v>181</v>
      </c>
      <c r="I196" s="345">
        <f>IF(AH196="","",AH196)</f>
        <v>1</v>
      </c>
      <c r="J196" s="75">
        <f t="shared" si="211"/>
        <v>191</v>
      </c>
      <c r="K196" s="345">
        <f>IF(AJ196="","",AJ196)</f>
        <v>0</v>
      </c>
      <c r="L196" s="75">
        <f t="shared" si="212"/>
        <v>180</v>
      </c>
      <c r="M196" s="345">
        <f>IF(AL196="","",AL196)</f>
        <v>1</v>
      </c>
      <c r="N196" s="75">
        <f t="shared" si="229"/>
        <v>175</v>
      </c>
      <c r="O196" s="345">
        <f>IF(AN196="","",AN196)</f>
        <v>1</v>
      </c>
      <c r="P196" s="75">
        <f t="shared" si="213"/>
        <v>168</v>
      </c>
      <c r="Q196" s="345">
        <f>IF(AP196="","",AP196)</f>
        <v>1</v>
      </c>
      <c r="R196" s="75">
        <f t="shared" si="214"/>
        <v>167</v>
      </c>
      <c r="S196" s="345">
        <f>IF(AR196="","",AR196)</f>
        <v>0</v>
      </c>
      <c r="T196" s="75">
        <f t="shared" si="215"/>
        <v>168</v>
      </c>
      <c r="U196" s="345">
        <f>IF(AT196="","",AT196)</f>
        <v>0</v>
      </c>
      <c r="V196" s="75">
        <f t="shared" si="216"/>
        <v>1566</v>
      </c>
      <c r="W196" s="345">
        <f>IF(AV196="","",AV196)</f>
        <v>5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0</v>
      </c>
      <c r="AU196" s="110">
        <f t="shared" si="217"/>
        <v>1566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5</v>
      </c>
      <c r="V200" s="86" t="str">
        <f t="shared" si="216"/>
        <v/>
      </c>
      <c r="W200" s="87">
        <f>IF(AV200="","",AV200)</f>
        <v>24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5</v>
      </c>
      <c r="AU200" s="86"/>
      <c r="AV200" s="125">
        <f>SUM(AV187:AV199)</f>
        <v>24</v>
      </c>
      <c r="AW200" s="101"/>
      <c r="AX200" s="102"/>
      <c r="BA200" s="212">
        <f>+AV200</f>
        <v>24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24.006235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3</v>
      </c>
      <c r="E202" s="353" t="str">
        <f t="shared" si="240"/>
        <v/>
      </c>
      <c r="F202" s="353">
        <f t="shared" si="240"/>
        <v>8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1</v>
      </c>
      <c r="K202" s="353" t="str">
        <f t="shared" si="240"/>
        <v/>
      </c>
      <c r="L202" s="353">
        <f t="shared" si="240"/>
        <v>5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10</v>
      </c>
      <c r="Q202" s="353" t="str">
        <f t="shared" si="240"/>
        <v/>
      </c>
      <c r="R202" s="353">
        <f t="shared" ref="N202:U204" si="241">IF(AQ202=0,"",AQ202)</f>
        <v>6</v>
      </c>
      <c r="S202" s="353" t="str">
        <f t="shared" si="241"/>
        <v/>
      </c>
      <c r="T202" s="353">
        <f t="shared" si="241"/>
        <v>4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VLOOKUP($AA182,Schlüssel!$A$5:$DG$14,23)</f>
        <v>3</v>
      </c>
      <c r="AD202" s="368"/>
      <c r="AE202" s="367">
        <f>VLOOKUP($AA182,Schlüssel!$A$5:$EK$14,24)</f>
        <v>8</v>
      </c>
      <c r="AF202" s="368"/>
      <c r="AG202" s="367">
        <f>VLOOKUP($AA182,Schlüssel!$A$5:$EK$14,25)</f>
        <v>9</v>
      </c>
      <c r="AH202" s="368"/>
      <c r="AI202" s="367">
        <f>VLOOKUP($AA182,Schlüssel!$A$5:$EK$14,26)</f>
        <v>1</v>
      </c>
      <c r="AJ202" s="368"/>
      <c r="AK202" s="367">
        <f>VLOOKUP($AA182,Schlüssel!$A$5:$EK$14,27)</f>
        <v>5</v>
      </c>
      <c r="AL202" s="368"/>
      <c r="AM202" s="367">
        <f>VLOOKUP($AA182,Schlüssel!$A$5:$EK$14,28)</f>
        <v>2</v>
      </c>
      <c r="AN202" s="368"/>
      <c r="AO202" s="367">
        <f>VLOOKUP($AA182,Schlüssel!$A$5:$EK$14,29)</f>
        <v>10</v>
      </c>
      <c r="AP202" s="368"/>
      <c r="AQ202" s="367">
        <f>VLOOKUP($AA182,Schlüssel!$A$5:$EK$14,30)</f>
        <v>6</v>
      </c>
      <c r="AR202" s="368"/>
      <c r="AS202" s="367">
        <f>VLOOKUP($AA182,Schlüssel!$A$5:$EK$14,31)</f>
        <v>4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5" t="str">
        <f t="shared" si="242"/>
        <v>Highroller Rosenheim</v>
      </c>
      <c r="E203" s="356" t="str">
        <f t="shared" si="242"/>
        <v/>
      </c>
      <c r="F203" s="355" t="str">
        <f t="shared" si="242"/>
        <v>EPA München 1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Praetoria Regensburg</v>
      </c>
      <c r="K203" s="356" t="str">
        <f t="shared" si="242"/>
        <v/>
      </c>
      <c r="L203" s="355" t="str">
        <f t="shared" si="242"/>
        <v xml:space="preserve">Weiß Blau Unterföhring </v>
      </c>
      <c r="M203" s="356" t="str">
        <f t="shared" si="242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BK München 4</v>
      </c>
      <c r="Q203" s="356" t="str">
        <f t="shared" si="241"/>
        <v/>
      </c>
      <c r="R203" s="355" t="str">
        <f t="shared" si="241"/>
        <v>Phönix 03 Lauf</v>
      </c>
      <c r="S203" s="356" t="str">
        <f t="shared" si="241"/>
        <v/>
      </c>
      <c r="T203" s="355" t="str">
        <f t="shared" si="241"/>
        <v>BK München 3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Highroller Rosenheim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Praetoria Regensburg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BK München 3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2"/>
        <v/>
      </c>
      <c r="M204" s="357" t="str">
        <f t="shared" si="242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191</v>
      </c>
      <c r="E205" s="359" t="str">
        <f>IF(AD205=0,"",AD205)</f>
        <v/>
      </c>
      <c r="F205" s="359">
        <f>IF(AE205=301,"",AE205)</f>
        <v>170</v>
      </c>
      <c r="G205" s="359" t="str">
        <f>IF(AF205=0,"",AF205)</f>
        <v/>
      </c>
      <c r="H205" s="359">
        <f>IF(AG205=301,"",AG205)</f>
        <v>181</v>
      </c>
      <c r="I205" s="359" t="str">
        <f>IF(AH205=0,"",AH205)</f>
        <v/>
      </c>
      <c r="J205" s="359">
        <f>IF(AI205=301,"",AI205)</f>
        <v>137</v>
      </c>
      <c r="K205" s="359" t="str">
        <f>IF(AJ205=0,"",AJ205)</f>
        <v/>
      </c>
      <c r="L205" s="359">
        <f>IF(AK205=301,"",AK205)</f>
        <v>173</v>
      </c>
      <c r="M205" s="359" t="str">
        <f>IF(AL205=0,"",AL205)</f>
        <v/>
      </c>
      <c r="N205" s="359">
        <f>IF(AM205=301,"",AM205)</f>
        <v>172</v>
      </c>
      <c r="O205" s="359" t="str">
        <f>IF(AN205=0,"",AN205)</f>
        <v/>
      </c>
      <c r="P205" s="359">
        <f>IF(AO205=301,"",AO205)</f>
        <v>188</v>
      </c>
      <c r="Q205" s="359" t="str">
        <f>IF(AP205=0,"",AP205)</f>
        <v/>
      </c>
      <c r="R205" s="359">
        <f>IF(AQ205=301,"",AQ205)</f>
        <v>172</v>
      </c>
      <c r="S205" s="359" t="str">
        <f>IF(AR205=0,"",AR205)</f>
        <v/>
      </c>
      <c r="T205" s="359">
        <f>IF(AS205=301,"",AS205)</f>
        <v>167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191</v>
      </c>
      <c r="AD205" s="366"/>
      <c r="AE205" s="365">
        <f>ABS(INDEX(AE:AE,MATCH(AE202,$AA:$AA,0)+5)+INDEX(AE:AE,MATCH(AE202,$AA:$AA,0)+6)+INDEX(AE:AE,MATCH(AE202,$AA:$AA,0)+7))</f>
        <v>170</v>
      </c>
      <c r="AF205" s="366"/>
      <c r="AG205" s="365">
        <f>ABS(INDEX(AG:AG,MATCH(AG202,$AA:$AA,0)+5)+INDEX(AG:AG,MATCH(AG202,$AA:$AA,0)+6)+INDEX(AG:AG,MATCH(AG202,$AA:$AA,0)+7))</f>
        <v>181</v>
      </c>
      <c r="AH205" s="366"/>
      <c r="AI205" s="365">
        <f>ABS(INDEX(AI:AI,MATCH(AI202,$AA:$AA,0)+5)+INDEX(AI:AI,MATCH(AI202,$AA:$AA,0)+6)+INDEX(AI:AI,MATCH(AI202,$AA:$AA,0)+7))</f>
        <v>137</v>
      </c>
      <c r="AJ205" s="366"/>
      <c r="AK205" s="365">
        <f>ABS(INDEX(AK:AK,MATCH(AK202,$AA:$AA,0)+5)+INDEX(AK:AK,MATCH(AK202,$AA:$AA,0)+6)+INDEX(AK:AK,MATCH(AK202,$AA:$AA,0)+7))</f>
        <v>173</v>
      </c>
      <c r="AL205" s="366"/>
      <c r="AM205" s="365">
        <f>ABS(INDEX(AM:AM,MATCH(AM202,$AA:$AA,0)+5)+INDEX(AM:AM,MATCH(AM202,$AA:$AA,0)+6)+INDEX(AM:AM,MATCH(AM202,$AA:$AA,0)+7))</f>
        <v>172</v>
      </c>
      <c r="AN205" s="366"/>
      <c r="AO205" s="365">
        <f>ABS(INDEX(AO:AO,MATCH(AO202,$AA:$AA,0)+5)+INDEX(AO:AO,MATCH(AO202,$AA:$AA,0)+6)+INDEX(AO:AO,MATCH(AO202,$AA:$AA,0)+7))</f>
        <v>188</v>
      </c>
      <c r="AP205" s="366"/>
      <c r="AQ205" s="365">
        <f>ABS(INDEX(AQ:AQ,MATCH(AQ202,$AA:$AA,0)+5)+INDEX(AQ:AQ,MATCH(AQ202,$AA:$AA,0)+6)+INDEX(AQ:AQ,MATCH(AQ202,$AA:$AA,0)+7))</f>
        <v>172</v>
      </c>
      <c r="AR205" s="366"/>
      <c r="AS205" s="365">
        <f>ABS(INDEX(AS:AS,MATCH(AS202,$AA:$AA,0)+5)+INDEX(AS:AS,MATCH(AS202,$AA:$AA,0)+6)+INDEX(AS:AS,MATCH(AS202,$AA:$AA,0)+7))</f>
        <v>167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179</v>
      </c>
      <c r="E206" s="359" t="str">
        <f>IF(AD206=0,"",AD206)</f>
        <v/>
      </c>
      <c r="F206" s="359">
        <f>IF(AE206=301,"",AE206)</f>
        <v>172</v>
      </c>
      <c r="G206" s="359" t="str">
        <f>IF(AF206=0,"",AF206)</f>
        <v/>
      </c>
      <c r="H206" s="359">
        <f>IF(AG206=301,"",AG206)</f>
        <v>201</v>
      </c>
      <c r="I206" s="359" t="str">
        <f>IF(AH206=0,"",AH206)</f>
        <v/>
      </c>
      <c r="J206" s="359">
        <f>IF(AI206=301,"",AI206)</f>
        <v>194</v>
      </c>
      <c r="K206" s="359" t="str">
        <f>IF(AJ206=0,"",AJ206)</f>
        <v/>
      </c>
      <c r="L206" s="359">
        <f>IF(AK206=301,"",AK206)</f>
        <v>159</v>
      </c>
      <c r="M206" s="359" t="str">
        <f>IF(AL206=0,"",AL206)</f>
        <v/>
      </c>
      <c r="N206" s="359">
        <f>IF(AM206=301,"",AM206)</f>
        <v>184</v>
      </c>
      <c r="O206" s="359" t="str">
        <f>IF(AN206=0,"",AN206)</f>
        <v/>
      </c>
      <c r="P206" s="359">
        <f>IF(AO206=301,"",AO206)</f>
        <v>185</v>
      </c>
      <c r="Q206" s="359" t="str">
        <f>IF(AP206=0,"",AP206)</f>
        <v/>
      </c>
      <c r="R206" s="359">
        <f>IF(AQ206=301,"",AQ206)</f>
        <v>181</v>
      </c>
      <c r="S206" s="359" t="str">
        <f>IF(AR206=0,"",AR206)</f>
        <v/>
      </c>
      <c r="T206" s="359">
        <f>IF(AS206=301,"",AS206)</f>
        <v>147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179</v>
      </c>
      <c r="AD206" s="364"/>
      <c r="AE206" s="363">
        <f>ABS(INDEX(AE:AE,MATCH(AE202,$AA:$AA,0)+8)+INDEX(AE:AE,MATCH(AE202,$AA:$AA,0)+9)+INDEX(AE:AE,MATCH(AE202,$AA:$AA,0)+10))</f>
        <v>172</v>
      </c>
      <c r="AF206" s="364"/>
      <c r="AG206" s="363">
        <f>ABS(INDEX(AG:AG,MATCH(AG202,$AA:$AA,0)+8)+INDEX(AG:AG,MATCH(AG202,$AA:$AA,0)+9)+INDEX(AG:AG,MATCH(AG202,$AA:$AA,0)+10))</f>
        <v>201</v>
      </c>
      <c r="AH206" s="364"/>
      <c r="AI206" s="363">
        <f>ABS(INDEX(AI:AI,MATCH(AI202,$AA:$AA,0)+8)+INDEX(AI:AI,MATCH(AI202,$AA:$AA,0)+9)+INDEX(AI:AI,MATCH(AI202,$AA:$AA,0)+10))</f>
        <v>194</v>
      </c>
      <c r="AJ206" s="364"/>
      <c r="AK206" s="363">
        <f>ABS(INDEX(AK:AK,MATCH(AK202,$AA:$AA,0)+8)+INDEX(AK:AK,MATCH(AK202,$AA:$AA,0)+9)+INDEX(AK:AK,MATCH(AK202,$AA:$AA,0)+10))</f>
        <v>159</v>
      </c>
      <c r="AL206" s="364"/>
      <c r="AM206" s="363">
        <f>ABS(INDEX(AM:AM,MATCH(AM202,$AA:$AA,0)+8)+INDEX(AM:AM,MATCH(AM202,$AA:$AA,0)+9)+INDEX(AM:AM,MATCH(AM202,$AA:$AA,0)+10))</f>
        <v>184</v>
      </c>
      <c r="AN206" s="364"/>
      <c r="AO206" s="363">
        <f>ABS(INDEX(AO:AO,MATCH(AO202,$AA:$AA,0)+8)+INDEX(AO:AO,MATCH(AO202,$AA:$AA,0)+9)+INDEX(AO:AO,MATCH(AO202,$AA:$AA,0)+10))</f>
        <v>185</v>
      </c>
      <c r="AP206" s="364"/>
      <c r="AQ206" s="363">
        <f>ABS(INDEX(AQ:AQ,MATCH(AQ202,$AA:$AA,0)+8)+INDEX(AQ:AQ,MATCH(AQ202,$AA:$AA,0)+9)+INDEX(AQ:AQ,MATCH(AQ202,$AA:$AA,0)+10))</f>
        <v>181</v>
      </c>
      <c r="AR206" s="364"/>
      <c r="AS206" s="363">
        <f>ABS(INDEX(AS:AS,MATCH(AS202,$AA:$AA,0)+8)+INDEX(AS:AS,MATCH(AS202,$AA:$AA,0)+9)+INDEX(AS:AS,MATCH(AS202,$AA:$AA,0)+10))</f>
        <v>147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148</v>
      </c>
      <c r="E207" s="359" t="str">
        <f>IF(AD207=0,"",AD207)</f>
        <v/>
      </c>
      <c r="F207" s="359">
        <f>IF(AE207=301,"",AE207)</f>
        <v>169</v>
      </c>
      <c r="G207" s="359" t="str">
        <f>IF(AF207=0,"",AF207)</f>
        <v/>
      </c>
      <c r="H207" s="359">
        <f>IF(AG207=301,"",AG207)</f>
        <v>167</v>
      </c>
      <c r="I207" s="359" t="str">
        <f>IF(AH207=0,"",AH207)</f>
        <v/>
      </c>
      <c r="J207" s="359">
        <f>IF(AI207=301,"",AI207)</f>
        <v>158</v>
      </c>
      <c r="K207" s="359" t="str">
        <f>IF(AJ207=0,"",AJ207)</f>
        <v/>
      </c>
      <c r="L207" s="359">
        <f>IF(AK207=301,"",AK207)</f>
        <v>202</v>
      </c>
      <c r="M207" s="359" t="str">
        <f>IF(AL207=0,"",AL207)</f>
        <v/>
      </c>
      <c r="N207" s="359">
        <f>IF(AM207=301,"",AM207)</f>
        <v>184</v>
      </c>
      <c r="O207" s="359" t="str">
        <f>IF(AN207=0,"",AN207)</f>
        <v/>
      </c>
      <c r="P207" s="359">
        <f>IF(AO207=301,"",AO207)</f>
        <v>161</v>
      </c>
      <c r="Q207" s="359" t="str">
        <f>IF(AP207=0,"",AP207)</f>
        <v/>
      </c>
      <c r="R207" s="359">
        <f>IF(AQ207=301,"",AQ207)</f>
        <v>201</v>
      </c>
      <c r="S207" s="359" t="str">
        <f>IF(AR207=0,"",AR207)</f>
        <v/>
      </c>
      <c r="T207" s="359">
        <f>IF(AS207=301,"",AS207)</f>
        <v>174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148</v>
      </c>
      <c r="AD207" s="364"/>
      <c r="AE207" s="363">
        <f>ABS(INDEX(AE:AE,MATCH(AE202,$AA:$AA,0)+11)+INDEX(AE:AE,MATCH(AE202,$AA:$AA,0)+12)+INDEX(AE:AE,MATCH(AE202,$AA:$AA,0)+13))</f>
        <v>169</v>
      </c>
      <c r="AF207" s="364"/>
      <c r="AG207" s="363">
        <f>ABS(INDEX(AG:AG,MATCH(AG202,$AA:$AA,0)+11)+INDEX(AG:AG,MATCH(AG202,$AA:$AA,0)+12)+INDEX(AG:AG,MATCH(AG202,$AA:$AA,0)+13))</f>
        <v>167</v>
      </c>
      <c r="AH207" s="364"/>
      <c r="AI207" s="363">
        <f>ABS(INDEX(AI:AI,MATCH(AI202,$AA:$AA,0)+11)+INDEX(AI:AI,MATCH(AI202,$AA:$AA,0)+12)+INDEX(AI:AI,MATCH(AI202,$AA:$AA,0)+13))</f>
        <v>158</v>
      </c>
      <c r="AJ207" s="364"/>
      <c r="AK207" s="363">
        <f>ABS(INDEX(AK:AK,MATCH(AK202,$AA:$AA,0)+11)+INDEX(AK:AK,MATCH(AK202,$AA:$AA,0)+12)+INDEX(AK:AK,MATCH(AK202,$AA:$AA,0)+13))</f>
        <v>202</v>
      </c>
      <c r="AL207" s="364"/>
      <c r="AM207" s="363">
        <f>ABS(INDEX(AM:AM,MATCH(AM202,$AA:$AA,0)+11)+INDEX(AM:AM,MATCH(AM202,$AA:$AA,0)+12)+INDEX(AM:AM,MATCH(AM202,$AA:$AA,0)+13))</f>
        <v>184</v>
      </c>
      <c r="AN207" s="364"/>
      <c r="AO207" s="363">
        <f>ABS(INDEX(AO:AO,MATCH(AO202,$AA:$AA,0)+11)+INDEX(AO:AO,MATCH(AO202,$AA:$AA,0)+12)+INDEX(AO:AO,MATCH(AO202,$AA:$AA,0)+13))</f>
        <v>161</v>
      </c>
      <c r="AP207" s="364"/>
      <c r="AQ207" s="363">
        <f>ABS(INDEX(AQ:AQ,MATCH(AQ202,$AA:$AA,0)+11)+INDEX(AQ:AQ,MATCH(AQ202,$AA:$AA,0)+12)+INDEX(AQ:AQ,MATCH(AQ202,$AA:$AA,0)+13))</f>
        <v>201</v>
      </c>
      <c r="AR207" s="364"/>
      <c r="AS207" s="363">
        <f>ABS(INDEX(AS:AS,MATCH(AS202,$AA:$AA,0)+11)+INDEX(AS:AS,MATCH(AS202,$AA:$AA,0)+12)+INDEX(AS:AS,MATCH(AS202,$AA:$AA,0)+13))</f>
        <v>174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170</v>
      </c>
      <c r="E208" s="359" t="str">
        <f>IF(AD208=0,"",AD208)</f>
        <v/>
      </c>
      <c r="F208" s="359">
        <f>IF(AE208=301,"",AE208)</f>
        <v>174</v>
      </c>
      <c r="G208" s="359" t="str">
        <f>IF(AF208=0,"",AF208)</f>
        <v/>
      </c>
      <c r="H208" s="359">
        <f>IF(AG208=301,"",AG208)</f>
        <v>174</v>
      </c>
      <c r="I208" s="359" t="str">
        <f>IF(AH208=0,"",AH208)</f>
        <v/>
      </c>
      <c r="J208" s="359">
        <f>IF(AI208=301,"",AI208)</f>
        <v>213</v>
      </c>
      <c r="K208" s="359" t="str">
        <f>IF(AJ208=0,"",AJ208)</f>
        <v/>
      </c>
      <c r="L208" s="359">
        <f>IF(AK208=301,"",AK208)</f>
        <v>176</v>
      </c>
      <c r="M208" s="359" t="str">
        <f>IF(AL208=0,"",AL208)</f>
        <v/>
      </c>
      <c r="N208" s="359">
        <f>IF(AM208=301,"",AM208)</f>
        <v>172</v>
      </c>
      <c r="O208" s="359" t="str">
        <f>IF(AN208=0,"",AN208)</f>
        <v/>
      </c>
      <c r="P208" s="359">
        <f>IF(AO208=301,"",AO208)</f>
        <v>135</v>
      </c>
      <c r="Q208" s="359" t="str">
        <f>IF(AP208=0,"",AP208)</f>
        <v/>
      </c>
      <c r="R208" s="359">
        <f>IF(AQ208=301,"",AQ208)</f>
        <v>204</v>
      </c>
      <c r="S208" s="359" t="str">
        <f>IF(AR208=0,"",AR208)</f>
        <v/>
      </c>
      <c r="T208" s="359">
        <f>IF(AS208=301,"",AS208)</f>
        <v>202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170</v>
      </c>
      <c r="AD208" s="364"/>
      <c r="AE208" s="363">
        <f>ABS(INDEX(AE:AE,MATCH(AE202,$AA:$AA,0)+14)+INDEX(AE:AE,MATCH(AE202,$AA:$AA,0)+15)+INDEX(AE:AE,MATCH(AE202,$AA:$AA,0)+16))</f>
        <v>174</v>
      </c>
      <c r="AF208" s="364"/>
      <c r="AG208" s="363">
        <f>ABS(INDEX(AG:AG,MATCH(AG202,$AA:$AA,0)+14)+INDEX(AG:AG,MATCH(AG202,$AA:$AA,0)+15)+INDEX(AG:AG,MATCH(AG202,$AA:$AA,0)+16))</f>
        <v>174</v>
      </c>
      <c r="AH208" s="364"/>
      <c r="AI208" s="363">
        <f>ABS(INDEX(AI:AI,MATCH(AI202,$AA:$AA,0)+14)+INDEX(AI:AI,MATCH(AI202,$AA:$AA,0)+15)+INDEX(AI:AI,MATCH(AI202,$AA:$AA,0)+16))</f>
        <v>213</v>
      </c>
      <c r="AJ208" s="364"/>
      <c r="AK208" s="363">
        <f>ABS(INDEX(AK:AK,MATCH(AK202,$AA:$AA,0)+14)+INDEX(AK:AK,MATCH(AK202,$AA:$AA,0)+15)+INDEX(AK:AK,MATCH(AK202,$AA:$AA,0)+16))</f>
        <v>176</v>
      </c>
      <c r="AL208" s="364"/>
      <c r="AM208" s="363">
        <f>ABS(INDEX(AM:AM,MATCH(AM202,$AA:$AA,0)+14)+INDEX(AM:AM,MATCH(AM202,$AA:$AA,0)+15)+INDEX(AM:AM,MATCH(AM202,$AA:$AA,0)+16))</f>
        <v>172</v>
      </c>
      <c r="AN208" s="364"/>
      <c r="AO208" s="363">
        <f>ABS(INDEX(AO:AO,MATCH(AO202,$AA:$AA,0)+14)+INDEX(AO:AO,MATCH(AO202,$AA:$AA,0)+15)+INDEX(AO:AO,MATCH(AO202,$AA:$AA,0)+16))</f>
        <v>135</v>
      </c>
      <c r="AP208" s="364"/>
      <c r="AQ208" s="363">
        <f>ABS(INDEX(AQ:AQ,MATCH(AQ202,$AA:$AA,0)+14)+INDEX(AQ:AQ,MATCH(AQ202,$AA:$AA,0)+15)+INDEX(AQ:AQ,MATCH(AQ202,$AA:$AA,0)+16))</f>
        <v>204</v>
      </c>
      <c r="AR208" s="364"/>
      <c r="AS208" s="363">
        <f>ABS(INDEX(AS:AS,MATCH(AS202,$AA:$AA,0)+14)+INDEX(AS:AS,MATCH(AS202,$AA:$AA,0)+15)+INDEX(AS:AS,MATCH(AS202,$AA:$AA,0)+16))</f>
        <v>202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688</v>
      </c>
      <c r="E209" s="362" t="str">
        <f>IF(AD209=0,"",AD209)</f>
        <v/>
      </c>
      <c r="F209" s="362">
        <f>IF(AE209=1505,"",AE209)</f>
        <v>685</v>
      </c>
      <c r="G209" s="362" t="str">
        <f>IF(AF209=0,"",AF209)</f>
        <v/>
      </c>
      <c r="H209" s="362">
        <f>IF(AG209=1505,"",AG209)</f>
        <v>723</v>
      </c>
      <c r="I209" s="362" t="str">
        <f>IF(AH209=0,"",AH209)</f>
        <v/>
      </c>
      <c r="J209" s="362">
        <f>IF(AI209=1505,"",AI209)</f>
        <v>702</v>
      </c>
      <c r="K209" s="362" t="str">
        <f>IF(AJ209=0,"",AJ209)</f>
        <v/>
      </c>
      <c r="L209" s="362">
        <f>IF(AK209=1505,"",AK209)</f>
        <v>710</v>
      </c>
      <c r="M209" s="362" t="str">
        <f>IF(AL209=0,"",AL209)</f>
        <v/>
      </c>
      <c r="N209" s="362">
        <f>IF(AM209=1505,"",AM209)</f>
        <v>712</v>
      </c>
      <c r="O209" s="362" t="str">
        <f>IF(AN209=0,"",AN209)</f>
        <v/>
      </c>
      <c r="P209" s="362">
        <f>IF(AO209=1505,"",AO209)</f>
        <v>669</v>
      </c>
      <c r="Q209" s="362" t="str">
        <f>IF(AP209=0,"",AP209)</f>
        <v/>
      </c>
      <c r="R209" s="362">
        <f>IF(AQ209=1505,"",AQ209)</f>
        <v>758</v>
      </c>
      <c r="S209" s="362" t="str">
        <f>IF(AR209=0,"",AR209)</f>
        <v/>
      </c>
      <c r="T209" s="362">
        <f>IF(AS209=1505,"",AS209)</f>
        <v>690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688</v>
      </c>
      <c r="AD209" s="344"/>
      <c r="AE209" s="343">
        <f>SUM(AE205:AE208)</f>
        <v>685</v>
      </c>
      <c r="AF209" s="344"/>
      <c r="AG209" s="343">
        <f>SUM(AG205:AG208)</f>
        <v>723</v>
      </c>
      <c r="AH209" s="344"/>
      <c r="AI209" s="343">
        <f>SUM(AI205:AI208)</f>
        <v>702</v>
      </c>
      <c r="AJ209" s="344"/>
      <c r="AK209" s="343">
        <f>SUM(AK205:AK208)</f>
        <v>710</v>
      </c>
      <c r="AL209" s="344"/>
      <c r="AM209" s="343">
        <f>SUM(AM205:AM208)</f>
        <v>712</v>
      </c>
      <c r="AN209" s="344"/>
      <c r="AO209" s="343">
        <f>SUM(AO205:AO208)</f>
        <v>669</v>
      </c>
      <c r="AP209" s="344"/>
      <c r="AQ209" s="343">
        <f>SUM(AQ205:AQ208)</f>
        <v>758</v>
      </c>
      <c r="AR209" s="344"/>
      <c r="AS209" s="343">
        <f>SUM(AS205:AS208)</f>
        <v>690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02.11./03.11.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02.11./03.11.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Regensburg Super Bowl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5">
        <f>IF(AD217="","",AD217)</f>
        <v>0</v>
      </c>
      <c r="F217" s="75">
        <f t="shared" ref="F217:F230" si="244">IF(AE217=0,"",AE217)</f>
        <v>170</v>
      </c>
      <c r="G217" s="345">
        <f>IF(AF217="","",AF217)</f>
        <v>1</v>
      </c>
      <c r="H217" s="75">
        <f t="shared" ref="H217:H230" si="245">IF(AG217=0,"",AG217)</f>
        <v>212</v>
      </c>
      <c r="I217" s="345">
        <f>IF(AH217="","",AH217)</f>
        <v>1</v>
      </c>
      <c r="J217" s="75">
        <f t="shared" ref="J217:J230" si="246">IF(AI217=0,"",AI217)</f>
        <v>212</v>
      </c>
      <c r="K217" s="345">
        <f>IF(AJ217="","",AJ217)</f>
        <v>1</v>
      </c>
      <c r="L217" s="75">
        <f t="shared" ref="L217:L230" si="247">IF(AK217=0,"",AK217)</f>
        <v>223</v>
      </c>
      <c r="M217" s="345">
        <f>IF(AL217="","",AL217)</f>
        <v>0</v>
      </c>
      <c r="N217" s="75">
        <f>IF(AM217=0,"",AM217)</f>
        <v>214</v>
      </c>
      <c r="O217" s="345">
        <f>IF(AN217="","",AN217)</f>
        <v>1</v>
      </c>
      <c r="P217" s="75">
        <f t="shared" ref="P217:P230" si="248">IF(AO217=0,"",AO217)</f>
        <v>213</v>
      </c>
      <c r="Q217" s="345">
        <f>IF(AP217="","",AP217)</f>
        <v>1</v>
      </c>
      <c r="R217" s="75">
        <f t="shared" ref="R217:R230" si="249">IF(AQ217=0,"",AQ217)</f>
        <v>179</v>
      </c>
      <c r="S217" s="345">
        <f>IF(AR217="","",AR217)</f>
        <v>1</v>
      </c>
      <c r="T217" s="75">
        <f t="shared" ref="T217:T230" si="250">IF(AS217=0,"",AS217)</f>
        <v>171</v>
      </c>
      <c r="U217" s="345">
        <f>IF(AT217="","",AT217)</f>
        <v>0</v>
      </c>
      <c r="V217" s="75">
        <f t="shared" ref="V217:V230" si="251">IF(AU217=0,"",AU217)</f>
        <v>1734</v>
      </c>
      <c r="W217" s="345">
        <f>IF(AV217="","",AV217)</f>
        <v>6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3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5">
        <f>IF(AD220="","",AD220)</f>
        <v>0</v>
      </c>
      <c r="F220" s="75">
        <f t="shared" si="244"/>
        <v>172</v>
      </c>
      <c r="G220" s="345">
        <f>IF(AF220="","",AF220)</f>
        <v>1</v>
      </c>
      <c r="H220" s="75">
        <f t="shared" si="245"/>
        <v>186</v>
      </c>
      <c r="I220" s="345">
        <f>IF(AH220="","",AH220)</f>
        <v>0</v>
      </c>
      <c r="J220" s="75">
        <f t="shared" si="246"/>
        <v>181</v>
      </c>
      <c r="K220" s="345">
        <f>IF(AJ220="","",AJ220)</f>
        <v>1</v>
      </c>
      <c r="L220" s="75">
        <f t="shared" si="247"/>
        <v>159</v>
      </c>
      <c r="M220" s="345">
        <f>IF(AL220="","",AL220)</f>
        <v>1</v>
      </c>
      <c r="N220" s="75">
        <f t="shared" si="264"/>
        <v>146</v>
      </c>
      <c r="O220" s="345">
        <f>IF(AN220="","",AN220)</f>
        <v>0</v>
      </c>
      <c r="P220" s="75" t="str">
        <f t="shared" si="248"/>
        <v/>
      </c>
      <c r="Q220" s="345">
        <f>IF(AP220="","",AP220)</f>
        <v>1</v>
      </c>
      <c r="R220" s="75" t="str">
        <f t="shared" si="249"/>
        <v/>
      </c>
      <c r="S220" s="345">
        <f>IF(AR220="","",AR220)</f>
        <v>1</v>
      </c>
      <c r="T220" s="75" t="str">
        <f t="shared" si="250"/>
        <v/>
      </c>
      <c r="U220" s="345">
        <f>IF(AT220="","",AT220)</f>
        <v>0</v>
      </c>
      <c r="V220" s="75">
        <f t="shared" si="251"/>
        <v>991</v>
      </c>
      <c r="W220" s="345">
        <f>IF(AV220="","",AV220)</f>
        <v>5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4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>
        <f t="shared" si="248"/>
        <v>202</v>
      </c>
      <c r="Q221" s="346"/>
      <c r="R221" s="78">
        <f t="shared" si="249"/>
        <v>181</v>
      </c>
      <c r="S221" s="346"/>
      <c r="T221" s="78">
        <f t="shared" si="250"/>
        <v>180</v>
      </c>
      <c r="U221" s="346"/>
      <c r="V221" s="78">
        <f t="shared" si="251"/>
        <v>563</v>
      </c>
      <c r="W221" s="346"/>
      <c r="Z221" s="349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3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5">
        <f>IF(AD223="","",AD223)</f>
        <v>0</v>
      </c>
      <c r="F223" s="75">
        <f t="shared" si="244"/>
        <v>169</v>
      </c>
      <c r="G223" s="345">
        <f>IF(AF223="","",AF223)</f>
        <v>0</v>
      </c>
      <c r="H223" s="75">
        <f t="shared" si="245"/>
        <v>197</v>
      </c>
      <c r="I223" s="345">
        <f>IF(AH223="","",AH223)</f>
        <v>1</v>
      </c>
      <c r="J223" s="75">
        <f t="shared" si="246"/>
        <v>193</v>
      </c>
      <c r="K223" s="345">
        <f>IF(AJ223="","",AJ223)</f>
        <v>1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1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1</v>
      </c>
      <c r="V223" s="75">
        <f t="shared" si="251"/>
        <v>725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4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>
        <f t="shared" si="247"/>
        <v>137</v>
      </c>
      <c r="M224" s="346"/>
      <c r="N224" s="78">
        <f t="shared" si="264"/>
        <v>175</v>
      </c>
      <c r="O224" s="346"/>
      <c r="P224" s="78">
        <f t="shared" si="248"/>
        <v>131</v>
      </c>
      <c r="Q224" s="346"/>
      <c r="R224" s="78">
        <f t="shared" si="249"/>
        <v>-157</v>
      </c>
      <c r="S224" s="346"/>
      <c r="T224" s="78" t="str">
        <f t="shared" si="250"/>
        <v/>
      </c>
      <c r="U224" s="346"/>
      <c r="V224" s="78">
        <f t="shared" si="251"/>
        <v>600</v>
      </c>
      <c r="W224" s="346"/>
      <c r="Z224" s="349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5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>
        <f t="shared" si="250"/>
        <v>185</v>
      </c>
      <c r="U225" s="347"/>
      <c r="V225" s="69">
        <f t="shared" si="251"/>
        <v>185</v>
      </c>
      <c r="W225" s="347"/>
      <c r="Z225" s="350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3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5">
        <f>IF(AD226="","",AD226)</f>
        <v>0</v>
      </c>
      <c r="F226" s="75">
        <f t="shared" si="244"/>
        <v>174</v>
      </c>
      <c r="G226" s="345">
        <f>IF(AF226="","",AF226)</f>
        <v>1</v>
      </c>
      <c r="H226" s="75">
        <f t="shared" si="245"/>
        <v>172</v>
      </c>
      <c r="I226" s="345">
        <f>IF(AH226="","",AH226)</f>
        <v>1</v>
      </c>
      <c r="J226" s="75">
        <f t="shared" si="246"/>
        <v>209</v>
      </c>
      <c r="K226" s="345">
        <f>IF(AJ226="","",AJ226)</f>
        <v>1</v>
      </c>
      <c r="L226" s="75">
        <f t="shared" si="247"/>
        <v>164</v>
      </c>
      <c r="M226" s="345">
        <f>IF(AL226="","",AL226)</f>
        <v>0</v>
      </c>
      <c r="N226" s="75">
        <f t="shared" si="264"/>
        <v>148</v>
      </c>
      <c r="O226" s="345">
        <f>IF(AN226="","",AN226)</f>
        <v>0</v>
      </c>
      <c r="P226" s="75">
        <f t="shared" si="248"/>
        <v>263</v>
      </c>
      <c r="Q226" s="345">
        <f>IF(AP226="","",AP226)</f>
        <v>1</v>
      </c>
      <c r="R226" s="75">
        <f t="shared" si="249"/>
        <v>183</v>
      </c>
      <c r="S226" s="345">
        <f>IF(AR226="","",AR226)</f>
        <v>1</v>
      </c>
      <c r="T226" s="75">
        <f t="shared" si="250"/>
        <v>160</v>
      </c>
      <c r="U226" s="345">
        <f>IF(AT226="","",AT226)</f>
        <v>0</v>
      </c>
      <c r="V226" s="75">
        <f t="shared" si="251"/>
        <v>1632</v>
      </c>
      <c r="W226" s="345">
        <f>IF(AV226="","",AV226)</f>
        <v>5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</v>
      </c>
      <c r="E232" s="353" t="str">
        <f t="shared" si="275"/>
        <v/>
      </c>
      <c r="F232" s="353">
        <f t="shared" si="275"/>
        <v>7</v>
      </c>
      <c r="G232" s="353" t="str">
        <f t="shared" si="275"/>
        <v/>
      </c>
      <c r="H232" s="353">
        <f t="shared" si="275"/>
        <v>3</v>
      </c>
      <c r="I232" s="353" t="str">
        <f t="shared" si="275"/>
        <v/>
      </c>
      <c r="J232" s="353">
        <f t="shared" si="275"/>
        <v>4</v>
      </c>
      <c r="K232" s="353" t="str">
        <f t="shared" si="275"/>
        <v/>
      </c>
      <c r="L232" s="353">
        <f t="shared" si="275"/>
        <v>9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N232:U234" si="276">IF(AQ232=0,"",AQ232)</f>
        <v>5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VLOOKUP($AA212,Schlüssel!$A$5:$DG$14,23)</f>
        <v>1</v>
      </c>
      <c r="AD232" s="368"/>
      <c r="AE232" s="367">
        <f>VLOOKUP($AA212,Schlüssel!$A$5:$EK$14,24)</f>
        <v>7</v>
      </c>
      <c r="AF232" s="368"/>
      <c r="AG232" s="367">
        <f>VLOOKUP($AA212,Schlüssel!$A$5:$EK$14,25)</f>
        <v>3</v>
      </c>
      <c r="AH232" s="368"/>
      <c r="AI232" s="367">
        <f>VLOOKUP($AA212,Schlüssel!$A$5:$EK$14,26)</f>
        <v>4</v>
      </c>
      <c r="AJ232" s="368"/>
      <c r="AK232" s="367">
        <f>VLOOKUP($AA212,Schlüssel!$A$5:$EK$14,27)</f>
        <v>9</v>
      </c>
      <c r="AL232" s="368"/>
      <c r="AM232" s="367">
        <f>VLOOKUP($AA212,Schlüssel!$A$5:$EK$14,28)</f>
        <v>6</v>
      </c>
      <c r="AN232" s="368"/>
      <c r="AO232" s="367">
        <f>VLOOKUP($AA212,Schlüssel!$A$5:$EK$14,29)</f>
        <v>2</v>
      </c>
      <c r="AP232" s="368"/>
      <c r="AQ232" s="367">
        <f>VLOOKUP($AA212,Schlüssel!$A$5:$EK$14,30)</f>
        <v>5</v>
      </c>
      <c r="AR232" s="368"/>
      <c r="AS232" s="367">
        <f>VLOOKUP($AA212,Schlüssel!$A$5:$EK$14,31)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5" t="str">
        <f t="shared" si="277"/>
        <v>Praetoria Regensburg</v>
      </c>
      <c r="E233" s="356" t="str">
        <f t="shared" si="277"/>
        <v/>
      </c>
      <c r="F233" s="355" t="str">
        <f t="shared" si="277"/>
        <v>Frankenpower Nürnberg</v>
      </c>
      <c r="G233" s="356" t="str">
        <f t="shared" si="277"/>
        <v/>
      </c>
      <c r="H233" s="355" t="str">
        <f t="shared" si="277"/>
        <v>Highroller Rosenheim</v>
      </c>
      <c r="I233" s="356" t="str">
        <f t="shared" si="277"/>
        <v/>
      </c>
      <c r="J233" s="355" t="str">
        <f t="shared" si="277"/>
        <v>BK München 3</v>
      </c>
      <c r="K233" s="356" t="str">
        <f t="shared" si="277"/>
        <v/>
      </c>
      <c r="L233" s="355" t="str">
        <f t="shared" si="277"/>
        <v>RW Lichtenhof 69 Stein 2</v>
      </c>
      <c r="M233" s="356" t="str">
        <f t="shared" si="277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 xml:space="preserve">Weiß Blau Unterföhring 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Praetoria Regensburg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Highroller Rosenheim</v>
      </c>
      <c r="AH233" s="356"/>
      <c r="AI233" s="355" t="str">
        <f>VLOOKUP(AI232,Schlüssel!$A$5:$K$14,2)</f>
        <v>BK München 3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 xml:space="preserve">Weiß Blau Unterföhring 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7"/>
        <v/>
      </c>
      <c r="M234" s="357" t="str">
        <f t="shared" si="277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169</v>
      </c>
      <c r="E235" s="359" t="str">
        <f>IF(AD235=0,"",AD235)</f>
        <v/>
      </c>
      <c r="F235" s="359">
        <f>IF(AE235=301,"",AE235)</f>
        <v>169</v>
      </c>
      <c r="G235" s="359" t="str">
        <f>IF(AF235=0,"",AF235)</f>
        <v/>
      </c>
      <c r="H235" s="359">
        <f>IF(AG235=301,"",AG235)</f>
        <v>190</v>
      </c>
      <c r="I235" s="359" t="str">
        <f>IF(AH235=0,"",AH235)</f>
        <v/>
      </c>
      <c r="J235" s="359">
        <f>IF(AI235=301,"",AI235)</f>
        <v>191</v>
      </c>
      <c r="K235" s="359" t="str">
        <f>IF(AJ235=0,"",AJ235)</f>
        <v/>
      </c>
      <c r="L235" s="359">
        <f>IF(AK235=301,"",AK235)</f>
        <v>224</v>
      </c>
      <c r="M235" s="359" t="str">
        <f>IF(AL235=0,"",AL235)</f>
        <v/>
      </c>
      <c r="N235" s="359">
        <f>IF(AM235=301,"",AM235)</f>
        <v>162</v>
      </c>
      <c r="O235" s="359" t="str">
        <f>IF(AN235=0,"",AN235)</f>
        <v/>
      </c>
      <c r="P235" s="359">
        <f>IF(AO235=301,"",AO235)</f>
        <v>159</v>
      </c>
      <c r="Q235" s="359" t="str">
        <f>IF(AP235=0,"",AP235)</f>
        <v/>
      </c>
      <c r="R235" s="359">
        <f>IF(AQ235=301,"",AQ235)</f>
        <v>126</v>
      </c>
      <c r="S235" s="359" t="str">
        <f>IF(AR235=0,"",AR235)</f>
        <v/>
      </c>
      <c r="T235" s="359">
        <f>IF(AS235=301,"",AS235)</f>
        <v>172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169</v>
      </c>
      <c r="AD235" s="366"/>
      <c r="AE235" s="365">
        <f>ABS(INDEX(AE:AE,MATCH(AE232,$AA:$AA,0)+5)+INDEX(AE:AE,MATCH(AE232,$AA:$AA,0)+6)+INDEX(AE:AE,MATCH(AE232,$AA:$AA,0)+7))</f>
        <v>169</v>
      </c>
      <c r="AF235" s="366"/>
      <c r="AG235" s="365">
        <f>ABS(INDEX(AG:AG,MATCH(AG232,$AA:$AA,0)+5)+INDEX(AG:AG,MATCH(AG232,$AA:$AA,0)+6)+INDEX(AG:AG,MATCH(AG232,$AA:$AA,0)+7))</f>
        <v>190</v>
      </c>
      <c r="AH235" s="366"/>
      <c r="AI235" s="365">
        <f>ABS(INDEX(AI:AI,MATCH(AI232,$AA:$AA,0)+5)+INDEX(AI:AI,MATCH(AI232,$AA:$AA,0)+6)+INDEX(AI:AI,MATCH(AI232,$AA:$AA,0)+7))</f>
        <v>191</v>
      </c>
      <c r="AJ235" s="366"/>
      <c r="AK235" s="365">
        <f>ABS(INDEX(AK:AK,MATCH(AK232,$AA:$AA,0)+5)+INDEX(AK:AK,MATCH(AK232,$AA:$AA,0)+6)+INDEX(AK:AK,MATCH(AK232,$AA:$AA,0)+7))</f>
        <v>224</v>
      </c>
      <c r="AL235" s="366"/>
      <c r="AM235" s="365">
        <f>ABS(INDEX(AM:AM,MATCH(AM232,$AA:$AA,0)+5)+INDEX(AM:AM,MATCH(AM232,$AA:$AA,0)+6)+INDEX(AM:AM,MATCH(AM232,$AA:$AA,0)+7))</f>
        <v>162</v>
      </c>
      <c r="AN235" s="366"/>
      <c r="AO235" s="365">
        <f>ABS(INDEX(AO:AO,MATCH(AO232,$AA:$AA,0)+5)+INDEX(AO:AO,MATCH(AO232,$AA:$AA,0)+6)+INDEX(AO:AO,MATCH(AO232,$AA:$AA,0)+7))</f>
        <v>159</v>
      </c>
      <c r="AP235" s="366"/>
      <c r="AQ235" s="365">
        <f>ABS(INDEX(AQ:AQ,MATCH(AQ232,$AA:$AA,0)+5)+INDEX(AQ:AQ,MATCH(AQ232,$AA:$AA,0)+6)+INDEX(AQ:AQ,MATCH(AQ232,$AA:$AA,0)+7))</f>
        <v>126</v>
      </c>
      <c r="AR235" s="366"/>
      <c r="AS235" s="365">
        <f>ABS(INDEX(AS:AS,MATCH(AS232,$AA:$AA,0)+5)+INDEX(AS:AS,MATCH(AS232,$AA:$AA,0)+6)+INDEX(AS:AS,MATCH(AS232,$AA:$AA,0)+7))</f>
        <v>172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164</v>
      </c>
      <c r="E236" s="359" t="str">
        <f>IF(AD236=0,"",AD236)</f>
        <v/>
      </c>
      <c r="F236" s="359">
        <f>IF(AE236=301,"",AE236)</f>
        <v>163</v>
      </c>
      <c r="G236" s="359" t="str">
        <f>IF(AF236=0,"",AF236)</f>
        <v/>
      </c>
      <c r="H236" s="359">
        <f>IF(AG236=301,"",AG236)</f>
        <v>189</v>
      </c>
      <c r="I236" s="359" t="str">
        <f>IF(AH236=0,"",AH236)</f>
        <v/>
      </c>
      <c r="J236" s="359">
        <f>IF(AI236=301,"",AI236)</f>
        <v>163</v>
      </c>
      <c r="K236" s="359" t="str">
        <f>IF(AJ236=0,"",AJ236)</f>
        <v/>
      </c>
      <c r="L236" s="359">
        <f>IF(AK236=301,"",AK236)</f>
        <v>150</v>
      </c>
      <c r="M236" s="359" t="str">
        <f>IF(AL236=0,"",AL236)</f>
        <v/>
      </c>
      <c r="N236" s="359">
        <f>IF(AM236=301,"",AM236)</f>
        <v>151</v>
      </c>
      <c r="O236" s="359" t="str">
        <f>IF(AN236=0,"",AN236)</f>
        <v/>
      </c>
      <c r="P236" s="359">
        <f>IF(AO236=301,"",AO236)</f>
        <v>187</v>
      </c>
      <c r="Q236" s="359" t="str">
        <f>IF(AP236=0,"",AP236)</f>
        <v/>
      </c>
      <c r="R236" s="359">
        <f>IF(AQ236=301,"",AQ236)</f>
        <v>166</v>
      </c>
      <c r="S236" s="359" t="str">
        <f>IF(AR236=0,"",AR236)</f>
        <v/>
      </c>
      <c r="T236" s="359">
        <f>IF(AS236=301,"",AS236)</f>
        <v>204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164</v>
      </c>
      <c r="AD236" s="364"/>
      <c r="AE236" s="363">
        <f>ABS(INDEX(AE:AE,MATCH(AE232,$AA:$AA,0)+8)+INDEX(AE:AE,MATCH(AE232,$AA:$AA,0)+9)+INDEX(AE:AE,MATCH(AE232,$AA:$AA,0)+10))</f>
        <v>163</v>
      </c>
      <c r="AF236" s="364"/>
      <c r="AG236" s="363">
        <f>ABS(INDEX(AG:AG,MATCH(AG232,$AA:$AA,0)+8)+INDEX(AG:AG,MATCH(AG232,$AA:$AA,0)+9)+INDEX(AG:AG,MATCH(AG232,$AA:$AA,0)+10))</f>
        <v>189</v>
      </c>
      <c r="AH236" s="364"/>
      <c r="AI236" s="363">
        <f>ABS(INDEX(AI:AI,MATCH(AI232,$AA:$AA,0)+8)+INDEX(AI:AI,MATCH(AI232,$AA:$AA,0)+9)+INDEX(AI:AI,MATCH(AI232,$AA:$AA,0)+10))</f>
        <v>163</v>
      </c>
      <c r="AJ236" s="364"/>
      <c r="AK236" s="363">
        <f>ABS(INDEX(AK:AK,MATCH(AK232,$AA:$AA,0)+8)+INDEX(AK:AK,MATCH(AK232,$AA:$AA,0)+9)+INDEX(AK:AK,MATCH(AK232,$AA:$AA,0)+10))</f>
        <v>150</v>
      </c>
      <c r="AL236" s="364"/>
      <c r="AM236" s="363">
        <f>ABS(INDEX(AM:AM,MATCH(AM232,$AA:$AA,0)+8)+INDEX(AM:AM,MATCH(AM232,$AA:$AA,0)+9)+INDEX(AM:AM,MATCH(AM232,$AA:$AA,0)+10))</f>
        <v>151</v>
      </c>
      <c r="AN236" s="364"/>
      <c r="AO236" s="363">
        <f>ABS(INDEX(AO:AO,MATCH(AO232,$AA:$AA,0)+8)+INDEX(AO:AO,MATCH(AO232,$AA:$AA,0)+9)+INDEX(AO:AO,MATCH(AO232,$AA:$AA,0)+10))</f>
        <v>187</v>
      </c>
      <c r="AP236" s="364"/>
      <c r="AQ236" s="363">
        <f>ABS(INDEX(AQ:AQ,MATCH(AQ232,$AA:$AA,0)+8)+INDEX(AQ:AQ,MATCH(AQ232,$AA:$AA,0)+9)+INDEX(AQ:AQ,MATCH(AQ232,$AA:$AA,0)+10))</f>
        <v>166</v>
      </c>
      <c r="AR236" s="364"/>
      <c r="AS236" s="363">
        <f>ABS(INDEX(AS:AS,MATCH(AS232,$AA:$AA,0)+8)+INDEX(AS:AS,MATCH(AS232,$AA:$AA,0)+9)+INDEX(AS:AS,MATCH(AS232,$AA:$AA,0)+10))</f>
        <v>204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176</v>
      </c>
      <c r="E237" s="359" t="str">
        <f>IF(AD237=0,"",AD237)</f>
        <v/>
      </c>
      <c r="F237" s="359">
        <f>IF(AE237=301,"",AE237)</f>
        <v>181</v>
      </c>
      <c r="G237" s="359" t="str">
        <f>IF(AF237=0,"",AF237)</f>
        <v/>
      </c>
      <c r="H237" s="359">
        <f>IF(AG237=301,"",AG237)</f>
        <v>169</v>
      </c>
      <c r="I237" s="359" t="str">
        <f>IF(AH237=0,"",AH237)</f>
        <v/>
      </c>
      <c r="J237" s="359">
        <f>IF(AI237=301,"",AI237)</f>
        <v>117</v>
      </c>
      <c r="K237" s="359" t="str">
        <f>IF(AJ237=0,"",AJ237)</f>
        <v/>
      </c>
      <c r="L237" s="359">
        <f>IF(AK237=301,"",AK237)</f>
        <v>165</v>
      </c>
      <c r="M237" s="359" t="str">
        <f>IF(AL237=0,"",AL237)</f>
        <v/>
      </c>
      <c r="N237" s="359">
        <f>IF(AM237=301,"",AM237)</f>
        <v>141</v>
      </c>
      <c r="O237" s="359" t="str">
        <f>IF(AN237=0,"",AN237)</f>
        <v/>
      </c>
      <c r="P237" s="359">
        <f>IF(AO237=301,"",AO237)</f>
        <v>157</v>
      </c>
      <c r="Q237" s="359" t="str">
        <f>IF(AP237=0,"",AP237)</f>
        <v/>
      </c>
      <c r="R237" s="359">
        <f>IF(AQ237=301,"",AQ237)</f>
        <v>169</v>
      </c>
      <c r="S237" s="359" t="str">
        <f>IF(AR237=0,"",AR237)</f>
        <v/>
      </c>
      <c r="T237" s="359">
        <f>IF(AS237=301,"",AS237)</f>
        <v>160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176</v>
      </c>
      <c r="AD237" s="364"/>
      <c r="AE237" s="363">
        <f>ABS(INDEX(AE:AE,MATCH(AE232,$AA:$AA,0)+11)+INDEX(AE:AE,MATCH(AE232,$AA:$AA,0)+12)+INDEX(AE:AE,MATCH(AE232,$AA:$AA,0)+13))</f>
        <v>181</v>
      </c>
      <c r="AF237" s="364"/>
      <c r="AG237" s="363">
        <f>ABS(INDEX(AG:AG,MATCH(AG232,$AA:$AA,0)+11)+INDEX(AG:AG,MATCH(AG232,$AA:$AA,0)+12)+INDEX(AG:AG,MATCH(AG232,$AA:$AA,0)+13))</f>
        <v>169</v>
      </c>
      <c r="AH237" s="364"/>
      <c r="AI237" s="363">
        <f>ABS(INDEX(AI:AI,MATCH(AI232,$AA:$AA,0)+11)+INDEX(AI:AI,MATCH(AI232,$AA:$AA,0)+12)+INDEX(AI:AI,MATCH(AI232,$AA:$AA,0)+13))</f>
        <v>117</v>
      </c>
      <c r="AJ237" s="364"/>
      <c r="AK237" s="363">
        <f>ABS(INDEX(AK:AK,MATCH(AK232,$AA:$AA,0)+11)+INDEX(AK:AK,MATCH(AK232,$AA:$AA,0)+12)+INDEX(AK:AK,MATCH(AK232,$AA:$AA,0)+13))</f>
        <v>165</v>
      </c>
      <c r="AL237" s="364"/>
      <c r="AM237" s="363">
        <f>ABS(INDEX(AM:AM,MATCH(AM232,$AA:$AA,0)+11)+INDEX(AM:AM,MATCH(AM232,$AA:$AA,0)+12)+INDEX(AM:AM,MATCH(AM232,$AA:$AA,0)+13))</f>
        <v>141</v>
      </c>
      <c r="AN237" s="364"/>
      <c r="AO237" s="363">
        <f>ABS(INDEX(AO:AO,MATCH(AO232,$AA:$AA,0)+11)+INDEX(AO:AO,MATCH(AO232,$AA:$AA,0)+12)+INDEX(AO:AO,MATCH(AO232,$AA:$AA,0)+13))</f>
        <v>157</v>
      </c>
      <c r="AP237" s="364"/>
      <c r="AQ237" s="363">
        <f>ABS(INDEX(AQ:AQ,MATCH(AQ232,$AA:$AA,0)+11)+INDEX(AQ:AQ,MATCH(AQ232,$AA:$AA,0)+12)+INDEX(AQ:AQ,MATCH(AQ232,$AA:$AA,0)+13))</f>
        <v>169</v>
      </c>
      <c r="AR237" s="364"/>
      <c r="AS237" s="363">
        <f>ABS(INDEX(AS:AS,MATCH(AS232,$AA:$AA,0)+11)+INDEX(AS:AS,MATCH(AS232,$AA:$AA,0)+12)+INDEX(AS:AS,MATCH(AS232,$AA:$AA,0)+13))</f>
        <v>160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179</v>
      </c>
      <c r="E238" s="359" t="str">
        <f>IF(AD238=0,"",AD238)</f>
        <v/>
      </c>
      <c r="F238" s="359">
        <f>IF(AE238=301,"",AE238)</f>
        <v>155</v>
      </c>
      <c r="G238" s="359" t="str">
        <f>IF(AF238=0,"",AF238)</f>
        <v/>
      </c>
      <c r="H238" s="359">
        <f>IF(AG238=301,"",AG238)</f>
        <v>141</v>
      </c>
      <c r="I238" s="359" t="str">
        <f>IF(AH238=0,"",AH238)</f>
        <v/>
      </c>
      <c r="J238" s="359">
        <f>IF(AI238=301,"",AI238)</f>
        <v>201</v>
      </c>
      <c r="K238" s="359" t="str">
        <f>IF(AJ238=0,"",AJ238)</f>
        <v/>
      </c>
      <c r="L238" s="359">
        <f>IF(AK238=301,"",AK238)</f>
        <v>183</v>
      </c>
      <c r="M238" s="359" t="str">
        <f>IF(AL238=0,"",AL238)</f>
        <v/>
      </c>
      <c r="N238" s="359">
        <f>IF(AM238=301,"",AM238)</f>
        <v>194</v>
      </c>
      <c r="O238" s="359" t="str">
        <f>IF(AN238=0,"",AN238)</f>
        <v/>
      </c>
      <c r="P238" s="359">
        <f>IF(AO238=301,"",AO238)</f>
        <v>192</v>
      </c>
      <c r="Q238" s="359" t="str">
        <f>IF(AP238=0,"",AP238)</f>
        <v/>
      </c>
      <c r="R238" s="359">
        <f>IF(AQ238=301,"",AQ238)</f>
        <v>180</v>
      </c>
      <c r="S238" s="359" t="str">
        <f>IF(AR238=0,"",AR238)</f>
        <v/>
      </c>
      <c r="T238" s="359">
        <f>IF(AS238=301,"",AS238)</f>
        <v>205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179</v>
      </c>
      <c r="AD238" s="364"/>
      <c r="AE238" s="363">
        <f>ABS(INDEX(AE:AE,MATCH(AE232,$AA:$AA,0)+14)+INDEX(AE:AE,MATCH(AE232,$AA:$AA,0)+15)+INDEX(AE:AE,MATCH(AE232,$AA:$AA,0)+16))</f>
        <v>155</v>
      </c>
      <c r="AF238" s="364"/>
      <c r="AG238" s="363">
        <f>ABS(INDEX(AG:AG,MATCH(AG232,$AA:$AA,0)+14)+INDEX(AG:AG,MATCH(AG232,$AA:$AA,0)+15)+INDEX(AG:AG,MATCH(AG232,$AA:$AA,0)+16))</f>
        <v>141</v>
      </c>
      <c r="AH238" s="364"/>
      <c r="AI238" s="363">
        <f>ABS(INDEX(AI:AI,MATCH(AI232,$AA:$AA,0)+14)+INDEX(AI:AI,MATCH(AI232,$AA:$AA,0)+15)+INDEX(AI:AI,MATCH(AI232,$AA:$AA,0)+16))</f>
        <v>201</v>
      </c>
      <c r="AJ238" s="364"/>
      <c r="AK238" s="363">
        <f>ABS(INDEX(AK:AK,MATCH(AK232,$AA:$AA,0)+14)+INDEX(AK:AK,MATCH(AK232,$AA:$AA,0)+15)+INDEX(AK:AK,MATCH(AK232,$AA:$AA,0)+16))</f>
        <v>183</v>
      </c>
      <c r="AL238" s="364"/>
      <c r="AM238" s="363">
        <f>ABS(INDEX(AM:AM,MATCH(AM232,$AA:$AA,0)+14)+INDEX(AM:AM,MATCH(AM232,$AA:$AA,0)+15)+INDEX(AM:AM,MATCH(AM232,$AA:$AA,0)+16))</f>
        <v>194</v>
      </c>
      <c r="AN238" s="364"/>
      <c r="AO238" s="363">
        <f>ABS(INDEX(AO:AO,MATCH(AO232,$AA:$AA,0)+14)+INDEX(AO:AO,MATCH(AO232,$AA:$AA,0)+15)+INDEX(AO:AO,MATCH(AO232,$AA:$AA,0)+16))</f>
        <v>192</v>
      </c>
      <c r="AP238" s="364"/>
      <c r="AQ238" s="363">
        <f>ABS(INDEX(AQ:AQ,MATCH(AQ232,$AA:$AA,0)+14)+INDEX(AQ:AQ,MATCH(AQ232,$AA:$AA,0)+15)+INDEX(AQ:AQ,MATCH(AQ232,$AA:$AA,0)+16))</f>
        <v>180</v>
      </c>
      <c r="AR238" s="364"/>
      <c r="AS238" s="363">
        <f>ABS(INDEX(AS:AS,MATCH(AS232,$AA:$AA,0)+14)+INDEX(AS:AS,MATCH(AS232,$AA:$AA,0)+15)+INDEX(AS:AS,MATCH(AS232,$AA:$AA,0)+16))</f>
        <v>205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688</v>
      </c>
      <c r="E239" s="362" t="str">
        <f>IF(AD239=0,"",AD239)</f>
        <v/>
      </c>
      <c r="F239" s="362">
        <f>IF(AE239=1505,"",AE239)</f>
        <v>668</v>
      </c>
      <c r="G239" s="362" t="str">
        <f>IF(AF239=0,"",AF239)</f>
        <v/>
      </c>
      <c r="H239" s="362">
        <f>IF(AG239=1505,"",AG239)</f>
        <v>689</v>
      </c>
      <c r="I239" s="362" t="str">
        <f>IF(AH239=0,"",AH239)</f>
        <v/>
      </c>
      <c r="J239" s="362">
        <f>IF(AI239=1505,"",AI239)</f>
        <v>672</v>
      </c>
      <c r="K239" s="362" t="str">
        <f>IF(AJ239=0,"",AJ239)</f>
        <v/>
      </c>
      <c r="L239" s="362">
        <f>IF(AK239=1505,"",AK239)</f>
        <v>722</v>
      </c>
      <c r="M239" s="362" t="str">
        <f>IF(AL239=0,"",AL239)</f>
        <v/>
      </c>
      <c r="N239" s="362">
        <f>IF(AM239=1505,"",AM239)</f>
        <v>648</v>
      </c>
      <c r="O239" s="362" t="str">
        <f>IF(AN239=0,"",AN239)</f>
        <v/>
      </c>
      <c r="P239" s="362">
        <f>IF(AO239=1505,"",AO239)</f>
        <v>695</v>
      </c>
      <c r="Q239" s="362" t="str">
        <f>IF(AP239=0,"",AP239)</f>
        <v/>
      </c>
      <c r="R239" s="362">
        <f>IF(AQ239=1505,"",AQ239)</f>
        <v>641</v>
      </c>
      <c r="S239" s="362" t="str">
        <f>IF(AR239=0,"",AR239)</f>
        <v/>
      </c>
      <c r="T239" s="362">
        <f>IF(AS239=1505,"",AS239)</f>
        <v>741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688</v>
      </c>
      <c r="AD239" s="344"/>
      <c r="AE239" s="343">
        <f>SUM(AE235:AE238)</f>
        <v>668</v>
      </c>
      <c r="AF239" s="344"/>
      <c r="AG239" s="343">
        <f>SUM(AG235:AG238)</f>
        <v>689</v>
      </c>
      <c r="AH239" s="344"/>
      <c r="AI239" s="343">
        <f>SUM(AI235:AI238)</f>
        <v>672</v>
      </c>
      <c r="AJ239" s="344"/>
      <c r="AK239" s="343">
        <f>SUM(AK235:AK238)</f>
        <v>722</v>
      </c>
      <c r="AL239" s="344"/>
      <c r="AM239" s="343">
        <f>SUM(AM235:AM238)</f>
        <v>648</v>
      </c>
      <c r="AN239" s="344"/>
      <c r="AO239" s="343">
        <f>SUM(AO235:AO238)</f>
        <v>695</v>
      </c>
      <c r="AP239" s="344"/>
      <c r="AQ239" s="343">
        <f>SUM(AQ235:AQ238)</f>
        <v>641</v>
      </c>
      <c r="AR239" s="344"/>
      <c r="AS239" s="343">
        <f>SUM(AS235:AS238)</f>
        <v>741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02.11./03.11.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02.11./03.11.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Regensburg Super Bowl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5">
        <f>IF(AD247="","",AD247)</f>
        <v>1</v>
      </c>
      <c r="F247" s="75">
        <f t="shared" ref="F247:F260" si="279">IF(AE247=0,"",AE247)</f>
        <v>155</v>
      </c>
      <c r="G247" s="345">
        <f>IF(AF247="","",AF247)</f>
        <v>1</v>
      </c>
      <c r="H247" s="75">
        <f t="shared" ref="H247:H260" si="280">IF(AG247=0,"",AG247)</f>
        <v>181</v>
      </c>
      <c r="I247" s="345">
        <f>IF(AH247="","",AH247)</f>
        <v>0</v>
      </c>
      <c r="J247" s="75">
        <f t="shared" ref="J247:J260" si="281">IF(AI247=0,"",AI247)</f>
        <v>123</v>
      </c>
      <c r="K247" s="345">
        <f>IF(AJ247="","",AJ247)</f>
        <v>0</v>
      </c>
      <c r="L247" s="75">
        <f t="shared" ref="L247:L260" si="282">IF(AK247=0,"",AK247)</f>
        <v>224</v>
      </c>
      <c r="M247" s="345">
        <f>IF(AL247="","",AL247)</f>
        <v>1</v>
      </c>
      <c r="N247" s="75">
        <f>IF(AM247=0,"",AM247)</f>
        <v>179</v>
      </c>
      <c r="O247" s="345">
        <f>IF(AN247="","",AN247)</f>
        <v>1</v>
      </c>
      <c r="P247" s="75">
        <f t="shared" ref="P247:P260" si="283">IF(AO247=0,"",AO247)</f>
        <v>185</v>
      </c>
      <c r="Q247" s="345">
        <f>IF(AP247="","",AP247)</f>
        <v>1</v>
      </c>
      <c r="R247" s="75">
        <f t="shared" ref="R247:R260" si="284">IF(AQ247=0,"",AQ247)</f>
        <v>161</v>
      </c>
      <c r="S247" s="345">
        <f>IF(AR247="","",AR247)</f>
        <v>0</v>
      </c>
      <c r="T247" s="75">
        <f t="shared" ref="T247:T260" si="285">IF(AS247=0,"",AS247)</f>
        <v>158</v>
      </c>
      <c r="U247" s="345">
        <f>IF(AT247="","",AT247)</f>
        <v>0</v>
      </c>
      <c r="V247" s="75">
        <f t="shared" ref="V247:V260" si="286">IF(AU247=0,"",AU247)</f>
        <v>1569</v>
      </c>
      <c r="W247" s="345">
        <f>IF(AV247="","",AV247)</f>
        <v>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3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5">
        <f>IF(AD250="","",AD250)</f>
        <v>1</v>
      </c>
      <c r="F250" s="75">
        <f t="shared" si="279"/>
        <v>151</v>
      </c>
      <c r="G250" s="345">
        <f>IF(AF250="","",AF250)</f>
        <v>0</v>
      </c>
      <c r="H250" s="75">
        <f t="shared" si="280"/>
        <v>201</v>
      </c>
      <c r="I250" s="345">
        <f>IF(AH250="","",AH250)</f>
        <v>1</v>
      </c>
      <c r="J250" s="75">
        <f t="shared" si="281"/>
        <v>192</v>
      </c>
      <c r="K250" s="345">
        <f>IF(AJ250="","",AJ250)</f>
        <v>0</v>
      </c>
      <c r="L250" s="75">
        <f t="shared" si="282"/>
        <v>150</v>
      </c>
      <c r="M250" s="345">
        <f>IF(AL250="","",AL250)</f>
        <v>0</v>
      </c>
      <c r="N250" s="75">
        <f t="shared" si="299"/>
        <v>151</v>
      </c>
      <c r="O250" s="345">
        <f>IF(AN250="","",AN250)</f>
        <v>0</v>
      </c>
      <c r="P250" s="75">
        <f t="shared" si="283"/>
        <v>196</v>
      </c>
      <c r="Q250" s="345">
        <f>IF(AP250="","",AP250)</f>
        <v>1</v>
      </c>
      <c r="R250" s="75">
        <f t="shared" si="284"/>
        <v>166</v>
      </c>
      <c r="S250" s="345">
        <f>IF(AR250="","",AR250)</f>
        <v>0</v>
      </c>
      <c r="T250" s="75">
        <f t="shared" si="285"/>
        <v>211</v>
      </c>
      <c r="U250" s="345">
        <f>IF(AT250="","",AT250)</f>
        <v>1</v>
      </c>
      <c r="V250" s="75">
        <f t="shared" si="286"/>
        <v>1598</v>
      </c>
      <c r="W250" s="345">
        <f>IF(AV250="","",AV250)</f>
        <v>4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3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5">
        <f>IF(AD253="","",AD253)</f>
        <v>1</v>
      </c>
      <c r="F253" s="75">
        <f t="shared" si="279"/>
        <v>135</v>
      </c>
      <c r="G253" s="345">
        <f>IF(AF253="","",AF253)</f>
        <v>0</v>
      </c>
      <c r="H253" s="75">
        <f t="shared" si="280"/>
        <v>167</v>
      </c>
      <c r="I253" s="345">
        <f>IF(AH253="","",AH253)</f>
        <v>0</v>
      </c>
      <c r="J253" s="75">
        <f t="shared" si="281"/>
        <v>170</v>
      </c>
      <c r="K253" s="345">
        <f>IF(AJ253="","",AJ253)</f>
        <v>1</v>
      </c>
      <c r="L253" s="75">
        <f t="shared" si="282"/>
        <v>165</v>
      </c>
      <c r="M253" s="345">
        <f>IF(AL253="","",AL253)</f>
        <v>1</v>
      </c>
      <c r="N253" s="75">
        <f t="shared" si="299"/>
        <v>170</v>
      </c>
      <c r="O253" s="345">
        <f>IF(AN253="","",AN253)</f>
        <v>0</v>
      </c>
      <c r="P253" s="75">
        <f t="shared" si="283"/>
        <v>179</v>
      </c>
      <c r="Q253" s="345">
        <f>IF(AP253="","",AP253)</f>
        <v>1</v>
      </c>
      <c r="R253" s="75">
        <f t="shared" si="284"/>
        <v>167</v>
      </c>
      <c r="S253" s="345">
        <f>IF(AR253="","",AR253)</f>
        <v>0</v>
      </c>
      <c r="T253" s="75">
        <f t="shared" si="285"/>
        <v>146</v>
      </c>
      <c r="U253" s="345">
        <f>IF(AT253="","",AT253)</f>
        <v>0</v>
      </c>
      <c r="V253" s="75">
        <f t="shared" si="286"/>
        <v>1497</v>
      </c>
      <c r="W253" s="345">
        <f>IF(AV253="","",AV253)</f>
        <v>4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3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5">
        <f>IF(AD256="","",AD256)</f>
        <v>0</v>
      </c>
      <c r="F256" s="75">
        <f t="shared" si="279"/>
        <v>177</v>
      </c>
      <c r="G256" s="345">
        <f>IF(AF256="","",AF256)</f>
        <v>0</v>
      </c>
      <c r="H256" s="75">
        <f t="shared" si="280"/>
        <v>174</v>
      </c>
      <c r="I256" s="345">
        <f>IF(AH256="","",AH256)</f>
        <v>0</v>
      </c>
      <c r="J256" s="75">
        <f t="shared" si="281"/>
        <v>205</v>
      </c>
      <c r="K256" s="345">
        <f>IF(AJ256="","",AJ256)</f>
        <v>1</v>
      </c>
      <c r="L256" s="75">
        <f t="shared" si="282"/>
        <v>183</v>
      </c>
      <c r="M256" s="345">
        <f>IF(AL256="","",AL256)</f>
        <v>1</v>
      </c>
      <c r="N256" s="75">
        <f t="shared" si="299"/>
        <v>180</v>
      </c>
      <c r="O256" s="345">
        <f>IF(AN256="","",AN256)</f>
        <v>1</v>
      </c>
      <c r="P256" s="75">
        <f t="shared" si="283"/>
        <v>167</v>
      </c>
      <c r="Q256" s="345">
        <f>IF(AP256="","",AP256)</f>
        <v>0</v>
      </c>
      <c r="R256" s="75">
        <f t="shared" si="284"/>
        <v>165</v>
      </c>
      <c r="S256" s="345">
        <f>IF(AR256="","",AR256)</f>
        <v>1</v>
      </c>
      <c r="T256" s="75">
        <f t="shared" si="285"/>
        <v>136</v>
      </c>
      <c r="U256" s="345">
        <f>IF(AT256="","",AT256)</f>
        <v>0</v>
      </c>
      <c r="V256" s="75">
        <f t="shared" si="286"/>
        <v>1544</v>
      </c>
      <c r="W256" s="345">
        <f>IF(AV256="","",AV256)</f>
        <v>4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0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5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27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27</v>
      </c>
      <c r="AW260" s="101"/>
      <c r="AX260" s="102"/>
      <c r="BA260" s="212">
        <f>+AV260</f>
        <v>27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27.006208000000001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2</v>
      </c>
      <c r="E262" s="353" t="str">
        <f t="shared" si="310"/>
        <v/>
      </c>
      <c r="F262" s="353">
        <f t="shared" si="310"/>
        <v>6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10</v>
      </c>
      <c r="K262" s="353" t="str">
        <f t="shared" si="310"/>
        <v/>
      </c>
      <c r="L262" s="353">
        <f t="shared" si="310"/>
        <v>8</v>
      </c>
      <c r="M262" s="353" t="str">
        <f t="shared" si="310"/>
        <v/>
      </c>
      <c r="N262" s="353">
        <f t="shared" si="310"/>
        <v>3</v>
      </c>
      <c r="O262" s="353" t="str">
        <f t="shared" si="310"/>
        <v/>
      </c>
      <c r="P262" s="353">
        <f t="shared" si="310"/>
        <v>4</v>
      </c>
      <c r="Q262" s="353" t="str">
        <f t="shared" si="310"/>
        <v/>
      </c>
      <c r="R262" s="353">
        <f t="shared" ref="N262:U264" si="311">IF(AQ262=0,"",AQ262)</f>
        <v>1</v>
      </c>
      <c r="S262" s="353" t="str">
        <f t="shared" si="311"/>
        <v/>
      </c>
      <c r="T262" s="353">
        <f t="shared" si="311"/>
        <v>5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VLOOKUP($AA242,Schlüssel!$A$5:$DG$14,23)</f>
        <v>2</v>
      </c>
      <c r="AD262" s="368"/>
      <c r="AE262" s="367">
        <f>VLOOKUP($AA242,Schlüssel!$A$5:$EK$14,24)</f>
        <v>6</v>
      </c>
      <c r="AF262" s="368"/>
      <c r="AG262" s="367">
        <f>VLOOKUP($AA242,Schlüssel!$A$5:$EK$14,25)</f>
        <v>7</v>
      </c>
      <c r="AH262" s="368"/>
      <c r="AI262" s="367">
        <f>VLOOKUP($AA242,Schlüssel!$A$5:$EK$14,26)</f>
        <v>10</v>
      </c>
      <c r="AJ262" s="368"/>
      <c r="AK262" s="367">
        <f>VLOOKUP($AA242,Schlüssel!$A$5:$EK$14,27)</f>
        <v>8</v>
      </c>
      <c r="AL262" s="368"/>
      <c r="AM262" s="367">
        <f>VLOOKUP($AA242,Schlüssel!$A$5:$EK$14,28)</f>
        <v>3</v>
      </c>
      <c r="AN262" s="368"/>
      <c r="AO262" s="367">
        <f>VLOOKUP($AA242,Schlüssel!$A$5:$EK$14,29)</f>
        <v>4</v>
      </c>
      <c r="AP262" s="368"/>
      <c r="AQ262" s="367">
        <f>VLOOKUP($AA242,Schlüssel!$A$5:$EK$14,30)</f>
        <v>1</v>
      </c>
      <c r="AR262" s="368"/>
      <c r="AS262" s="367">
        <f>VLOOKUP($AA242,Schlüssel!$A$5:$EK$14,31)</f>
        <v>5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5" t="str">
        <f t="shared" si="312"/>
        <v>BK München 2</v>
      </c>
      <c r="E263" s="356" t="str">
        <f t="shared" si="312"/>
        <v/>
      </c>
      <c r="F263" s="355" t="str">
        <f t="shared" si="312"/>
        <v>Phönix 03 Lauf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BK München 4</v>
      </c>
      <c r="K263" s="356" t="str">
        <f t="shared" si="312"/>
        <v/>
      </c>
      <c r="L263" s="355" t="str">
        <f t="shared" si="312"/>
        <v>EPA München 1</v>
      </c>
      <c r="M263" s="356" t="str">
        <f t="shared" si="312"/>
        <v/>
      </c>
      <c r="N263" s="355" t="str">
        <f t="shared" si="311"/>
        <v>Highroller Rosenheim</v>
      </c>
      <c r="O263" s="356" t="str">
        <f t="shared" si="311"/>
        <v/>
      </c>
      <c r="P263" s="355" t="str">
        <f t="shared" si="311"/>
        <v>BK München 3</v>
      </c>
      <c r="Q263" s="356" t="str">
        <f t="shared" si="311"/>
        <v/>
      </c>
      <c r="R263" s="355" t="str">
        <f t="shared" si="311"/>
        <v>Praetoria Regensburg</v>
      </c>
      <c r="S263" s="356" t="str">
        <f t="shared" si="311"/>
        <v/>
      </c>
      <c r="T263" s="355" t="str">
        <f t="shared" si="311"/>
        <v xml:space="preserve">Weiß Blau Unterföhring 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2</v>
      </c>
      <c r="AD263" s="356"/>
      <c r="AE263" s="355" t="str">
        <f>VLOOKUP(AE262,Schlüssel!$A$5:$K$14,2)</f>
        <v>Phönix 03 Lauf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Highroller Rosenheim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 xml:space="preserve">Weiß Blau Unterföhring 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2"/>
        <v/>
      </c>
      <c r="M264" s="357" t="str">
        <f t="shared" si="312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198</v>
      </c>
      <c r="E265" s="359" t="str">
        <f>IF(AD265=0,"",AD265)</f>
        <v/>
      </c>
      <c r="F265" s="359">
        <f>IF(AE265=301,"",AE265)</f>
        <v>143</v>
      </c>
      <c r="G265" s="359" t="str">
        <f>IF(AF265=0,"",AF265)</f>
        <v/>
      </c>
      <c r="H265" s="359">
        <f>IF(AG265=301,"",AG265)</f>
        <v>182</v>
      </c>
      <c r="I265" s="359" t="str">
        <f>IF(AH265=0,"",AH265)</f>
        <v/>
      </c>
      <c r="J265" s="359">
        <f>IF(AI265=301,"",AI265)</f>
        <v>189</v>
      </c>
      <c r="K265" s="359" t="str">
        <f>IF(AJ265=0,"",AJ265)</f>
        <v/>
      </c>
      <c r="L265" s="359">
        <f>IF(AK265=301,"",AK265)</f>
        <v>223</v>
      </c>
      <c r="M265" s="359" t="str">
        <f>IF(AL265=0,"",AL265)</f>
        <v/>
      </c>
      <c r="N265" s="359">
        <f>IF(AM265=301,"",AM265)</f>
        <v>178</v>
      </c>
      <c r="O265" s="359" t="str">
        <f>IF(AN265=0,"",AN265)</f>
        <v/>
      </c>
      <c r="P265" s="359">
        <f>IF(AO265=301,"",AO265)</f>
        <v>147</v>
      </c>
      <c r="Q265" s="359" t="str">
        <f>IF(AP265=0,"",AP265)</f>
        <v/>
      </c>
      <c r="R265" s="359">
        <f>IF(AQ265=301,"",AQ265)</f>
        <v>194</v>
      </c>
      <c r="S265" s="359" t="str">
        <f>IF(AR265=0,"",AR265)</f>
        <v/>
      </c>
      <c r="T265" s="359">
        <f>IF(AS265=301,"",AS265)</f>
        <v>172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198</v>
      </c>
      <c r="AD265" s="366"/>
      <c r="AE265" s="365">
        <f>ABS(INDEX(AE:AE,MATCH(AE262,$AA:$AA,0)+5)+INDEX(AE:AE,MATCH(AE262,$AA:$AA,0)+6)+INDEX(AE:AE,MATCH(AE262,$AA:$AA,0)+7))</f>
        <v>143</v>
      </c>
      <c r="AF265" s="366"/>
      <c r="AG265" s="365">
        <f>ABS(INDEX(AG:AG,MATCH(AG262,$AA:$AA,0)+5)+INDEX(AG:AG,MATCH(AG262,$AA:$AA,0)+6)+INDEX(AG:AG,MATCH(AG262,$AA:$AA,0)+7))</f>
        <v>182</v>
      </c>
      <c r="AH265" s="366"/>
      <c r="AI265" s="365">
        <f>ABS(INDEX(AI:AI,MATCH(AI262,$AA:$AA,0)+5)+INDEX(AI:AI,MATCH(AI262,$AA:$AA,0)+6)+INDEX(AI:AI,MATCH(AI262,$AA:$AA,0)+7))</f>
        <v>189</v>
      </c>
      <c r="AJ265" s="366"/>
      <c r="AK265" s="365">
        <f>ABS(INDEX(AK:AK,MATCH(AK262,$AA:$AA,0)+5)+INDEX(AK:AK,MATCH(AK262,$AA:$AA,0)+6)+INDEX(AK:AK,MATCH(AK262,$AA:$AA,0)+7))</f>
        <v>223</v>
      </c>
      <c r="AL265" s="366"/>
      <c r="AM265" s="365">
        <f>ABS(INDEX(AM:AM,MATCH(AM262,$AA:$AA,0)+5)+INDEX(AM:AM,MATCH(AM262,$AA:$AA,0)+6)+INDEX(AM:AM,MATCH(AM262,$AA:$AA,0)+7))</f>
        <v>178</v>
      </c>
      <c r="AN265" s="366"/>
      <c r="AO265" s="365">
        <f>ABS(INDEX(AO:AO,MATCH(AO262,$AA:$AA,0)+5)+INDEX(AO:AO,MATCH(AO262,$AA:$AA,0)+6)+INDEX(AO:AO,MATCH(AO262,$AA:$AA,0)+7))</f>
        <v>147</v>
      </c>
      <c r="AP265" s="366"/>
      <c r="AQ265" s="365">
        <f>ABS(INDEX(AQ:AQ,MATCH(AQ262,$AA:$AA,0)+5)+INDEX(AQ:AQ,MATCH(AQ262,$AA:$AA,0)+6)+INDEX(AQ:AQ,MATCH(AQ262,$AA:$AA,0)+7))</f>
        <v>194</v>
      </c>
      <c r="AR265" s="366"/>
      <c r="AS265" s="365">
        <f>ABS(INDEX(AS:AS,MATCH(AS262,$AA:$AA,0)+5)+INDEX(AS:AS,MATCH(AS262,$AA:$AA,0)+6)+INDEX(AS:AS,MATCH(AS262,$AA:$AA,0)+7))</f>
        <v>172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171</v>
      </c>
      <c r="E266" s="359" t="str">
        <f>IF(AD266=0,"",AD266)</f>
        <v/>
      </c>
      <c r="F266" s="359">
        <f>IF(AE266=301,"",AE266)</f>
        <v>163</v>
      </c>
      <c r="G266" s="359" t="str">
        <f>IF(AF266=0,"",AF266)</f>
        <v/>
      </c>
      <c r="H266" s="359">
        <f>IF(AG266=301,"",AG266)</f>
        <v>170</v>
      </c>
      <c r="I266" s="359" t="str">
        <f>IF(AH266=0,"",AH266)</f>
        <v/>
      </c>
      <c r="J266" s="359">
        <f>IF(AI266=301,"",AI266)</f>
        <v>246</v>
      </c>
      <c r="K266" s="359" t="str">
        <f>IF(AJ266=0,"",AJ266)</f>
        <v/>
      </c>
      <c r="L266" s="359">
        <f>IF(AK266=301,"",AK266)</f>
        <v>159</v>
      </c>
      <c r="M266" s="359" t="str">
        <f>IF(AL266=0,"",AL266)</f>
        <v/>
      </c>
      <c r="N266" s="359">
        <f>IF(AM266=301,"",AM266)</f>
        <v>158</v>
      </c>
      <c r="O266" s="359" t="str">
        <f>IF(AN266=0,"",AN266)</f>
        <v/>
      </c>
      <c r="P266" s="359">
        <f>IF(AO266=301,"",AO266)</f>
        <v>170</v>
      </c>
      <c r="Q266" s="359" t="str">
        <f>IF(AP266=0,"",AP266)</f>
        <v/>
      </c>
      <c r="R266" s="359">
        <f>IF(AQ266=301,"",AQ266)</f>
        <v>180</v>
      </c>
      <c r="S266" s="359" t="str">
        <f>IF(AR266=0,"",AR266)</f>
        <v/>
      </c>
      <c r="T266" s="359">
        <f>IF(AS266=301,"",AS266)</f>
        <v>155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171</v>
      </c>
      <c r="AD266" s="364"/>
      <c r="AE266" s="363">
        <f>ABS(INDEX(AE:AE,MATCH(AE262,$AA:$AA,0)+8)+INDEX(AE:AE,MATCH(AE262,$AA:$AA,0)+9)+INDEX(AE:AE,MATCH(AE262,$AA:$AA,0)+10))</f>
        <v>163</v>
      </c>
      <c r="AF266" s="364"/>
      <c r="AG266" s="363">
        <f>ABS(INDEX(AG:AG,MATCH(AG262,$AA:$AA,0)+8)+INDEX(AG:AG,MATCH(AG262,$AA:$AA,0)+9)+INDEX(AG:AG,MATCH(AG262,$AA:$AA,0)+10))</f>
        <v>170</v>
      </c>
      <c r="AH266" s="364"/>
      <c r="AI266" s="363">
        <f>ABS(INDEX(AI:AI,MATCH(AI262,$AA:$AA,0)+8)+INDEX(AI:AI,MATCH(AI262,$AA:$AA,0)+9)+INDEX(AI:AI,MATCH(AI262,$AA:$AA,0)+10))</f>
        <v>246</v>
      </c>
      <c r="AJ266" s="364"/>
      <c r="AK266" s="363">
        <f>ABS(INDEX(AK:AK,MATCH(AK262,$AA:$AA,0)+8)+INDEX(AK:AK,MATCH(AK262,$AA:$AA,0)+9)+INDEX(AK:AK,MATCH(AK262,$AA:$AA,0)+10))</f>
        <v>159</v>
      </c>
      <c r="AL266" s="364"/>
      <c r="AM266" s="363">
        <f>ABS(INDEX(AM:AM,MATCH(AM262,$AA:$AA,0)+8)+INDEX(AM:AM,MATCH(AM262,$AA:$AA,0)+9)+INDEX(AM:AM,MATCH(AM262,$AA:$AA,0)+10))</f>
        <v>158</v>
      </c>
      <c r="AN266" s="364"/>
      <c r="AO266" s="363">
        <f>ABS(INDEX(AO:AO,MATCH(AO262,$AA:$AA,0)+8)+INDEX(AO:AO,MATCH(AO262,$AA:$AA,0)+9)+INDEX(AO:AO,MATCH(AO262,$AA:$AA,0)+10))</f>
        <v>170</v>
      </c>
      <c r="AP266" s="364"/>
      <c r="AQ266" s="363">
        <f>ABS(INDEX(AQ:AQ,MATCH(AQ262,$AA:$AA,0)+8)+INDEX(AQ:AQ,MATCH(AQ262,$AA:$AA,0)+9)+INDEX(AQ:AQ,MATCH(AQ262,$AA:$AA,0)+10))</f>
        <v>180</v>
      </c>
      <c r="AR266" s="364"/>
      <c r="AS266" s="363">
        <f>ABS(INDEX(AS:AS,MATCH(AS262,$AA:$AA,0)+8)+INDEX(AS:AS,MATCH(AS262,$AA:$AA,0)+9)+INDEX(AS:AS,MATCH(AS262,$AA:$AA,0)+10))</f>
        <v>155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161</v>
      </c>
      <c r="E267" s="359" t="str">
        <f>IF(AD267=0,"",AD267)</f>
        <v/>
      </c>
      <c r="F267" s="359">
        <f>IF(AE267=301,"",AE267)</f>
        <v>192</v>
      </c>
      <c r="G267" s="359" t="str">
        <f>IF(AF267=0,"",AF267)</f>
        <v/>
      </c>
      <c r="H267" s="359">
        <f>IF(AG267=301,"",AG267)</f>
        <v>169</v>
      </c>
      <c r="I267" s="359" t="str">
        <f>IF(AH267=0,"",AH267)</f>
        <v/>
      </c>
      <c r="J267" s="359">
        <f>IF(AI267=301,"",AI267)</f>
        <v>160</v>
      </c>
      <c r="K267" s="359" t="str">
        <f>IF(AJ267=0,"",AJ267)</f>
        <v/>
      </c>
      <c r="L267" s="359">
        <f>IF(AK267=301,"",AK267)</f>
        <v>137</v>
      </c>
      <c r="M267" s="359" t="str">
        <f>IF(AL267=0,"",AL267)</f>
        <v/>
      </c>
      <c r="N267" s="359">
        <f>IF(AM267=301,"",AM267)</f>
        <v>176</v>
      </c>
      <c r="O267" s="359" t="str">
        <f>IF(AN267=0,"",AN267)</f>
        <v/>
      </c>
      <c r="P267" s="359">
        <f>IF(AO267=301,"",AO267)</f>
        <v>147</v>
      </c>
      <c r="Q267" s="359" t="str">
        <f>IF(AP267=0,"",AP267)</f>
        <v/>
      </c>
      <c r="R267" s="359">
        <f>IF(AQ267=301,"",AQ267)</f>
        <v>207</v>
      </c>
      <c r="S267" s="359" t="str">
        <f>IF(AR267=0,"",AR267)</f>
        <v/>
      </c>
      <c r="T267" s="359">
        <f>IF(AS267=301,"",AS267)</f>
        <v>201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161</v>
      </c>
      <c r="AD267" s="364"/>
      <c r="AE267" s="363">
        <f>ABS(INDEX(AE:AE,MATCH(AE262,$AA:$AA,0)+11)+INDEX(AE:AE,MATCH(AE262,$AA:$AA,0)+12)+INDEX(AE:AE,MATCH(AE262,$AA:$AA,0)+13))</f>
        <v>192</v>
      </c>
      <c r="AF267" s="364"/>
      <c r="AG267" s="363">
        <f>ABS(INDEX(AG:AG,MATCH(AG262,$AA:$AA,0)+11)+INDEX(AG:AG,MATCH(AG262,$AA:$AA,0)+12)+INDEX(AG:AG,MATCH(AG262,$AA:$AA,0)+13))</f>
        <v>169</v>
      </c>
      <c r="AH267" s="364"/>
      <c r="AI267" s="363">
        <f>ABS(INDEX(AI:AI,MATCH(AI262,$AA:$AA,0)+11)+INDEX(AI:AI,MATCH(AI262,$AA:$AA,0)+12)+INDEX(AI:AI,MATCH(AI262,$AA:$AA,0)+13))</f>
        <v>160</v>
      </c>
      <c r="AJ267" s="364"/>
      <c r="AK267" s="363">
        <f>ABS(INDEX(AK:AK,MATCH(AK262,$AA:$AA,0)+11)+INDEX(AK:AK,MATCH(AK262,$AA:$AA,0)+12)+INDEX(AK:AK,MATCH(AK262,$AA:$AA,0)+13))</f>
        <v>137</v>
      </c>
      <c r="AL267" s="364"/>
      <c r="AM267" s="363">
        <f>ABS(INDEX(AM:AM,MATCH(AM262,$AA:$AA,0)+11)+INDEX(AM:AM,MATCH(AM262,$AA:$AA,0)+12)+INDEX(AM:AM,MATCH(AM262,$AA:$AA,0)+13))</f>
        <v>176</v>
      </c>
      <c r="AN267" s="364"/>
      <c r="AO267" s="363">
        <f>ABS(INDEX(AO:AO,MATCH(AO262,$AA:$AA,0)+11)+INDEX(AO:AO,MATCH(AO262,$AA:$AA,0)+12)+INDEX(AO:AO,MATCH(AO262,$AA:$AA,0)+13))</f>
        <v>147</v>
      </c>
      <c r="AP267" s="364"/>
      <c r="AQ267" s="363">
        <f>ABS(INDEX(AQ:AQ,MATCH(AQ262,$AA:$AA,0)+11)+INDEX(AQ:AQ,MATCH(AQ262,$AA:$AA,0)+12)+INDEX(AQ:AQ,MATCH(AQ262,$AA:$AA,0)+13))</f>
        <v>207</v>
      </c>
      <c r="AR267" s="364"/>
      <c r="AS267" s="363">
        <f>ABS(INDEX(AS:AS,MATCH(AS262,$AA:$AA,0)+11)+INDEX(AS:AS,MATCH(AS262,$AA:$AA,0)+12)+INDEX(AS:AS,MATCH(AS262,$AA:$AA,0)+13))</f>
        <v>201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190</v>
      </c>
      <c r="E268" s="359" t="str">
        <f>IF(AD268=0,"",AD268)</f>
        <v/>
      </c>
      <c r="F268" s="359">
        <f>IF(AE268=301,"",AE268)</f>
        <v>180</v>
      </c>
      <c r="G268" s="359" t="str">
        <f>IF(AF268=0,"",AF268)</f>
        <v/>
      </c>
      <c r="H268" s="359">
        <f>IF(AG268=301,"",AG268)</f>
        <v>181</v>
      </c>
      <c r="I268" s="359" t="str">
        <f>IF(AH268=0,"",AH268)</f>
        <v/>
      </c>
      <c r="J268" s="359">
        <f>IF(AI268=301,"",AI268)</f>
        <v>162</v>
      </c>
      <c r="K268" s="359" t="str">
        <f>IF(AJ268=0,"",AJ268)</f>
        <v/>
      </c>
      <c r="L268" s="359">
        <f>IF(AK268=301,"",AK268)</f>
        <v>164</v>
      </c>
      <c r="M268" s="359" t="str">
        <f>IF(AL268=0,"",AL268)</f>
        <v/>
      </c>
      <c r="N268" s="359">
        <f>IF(AM268=301,"",AM268)</f>
        <v>157</v>
      </c>
      <c r="O268" s="359" t="str">
        <f>IF(AN268=0,"",AN268)</f>
        <v/>
      </c>
      <c r="P268" s="359">
        <f>IF(AO268=301,"",AO268)</f>
        <v>214</v>
      </c>
      <c r="Q268" s="359" t="str">
        <f>IF(AP268=0,"",AP268)</f>
        <v/>
      </c>
      <c r="R268" s="359">
        <f>IF(AQ268=301,"",AQ268)</f>
        <v>135</v>
      </c>
      <c r="S268" s="359" t="str">
        <f>IF(AR268=0,"",AR268)</f>
        <v/>
      </c>
      <c r="T268" s="359">
        <f>IF(AS268=301,"",AS268)</f>
        <v>193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190</v>
      </c>
      <c r="AD268" s="364"/>
      <c r="AE268" s="363">
        <f>ABS(INDEX(AE:AE,MATCH(AE262,$AA:$AA,0)+14)+INDEX(AE:AE,MATCH(AE262,$AA:$AA,0)+15)+INDEX(AE:AE,MATCH(AE262,$AA:$AA,0)+16))</f>
        <v>180</v>
      </c>
      <c r="AF268" s="364"/>
      <c r="AG268" s="363">
        <f>ABS(INDEX(AG:AG,MATCH(AG262,$AA:$AA,0)+14)+INDEX(AG:AG,MATCH(AG262,$AA:$AA,0)+15)+INDEX(AG:AG,MATCH(AG262,$AA:$AA,0)+16))</f>
        <v>181</v>
      </c>
      <c r="AH268" s="364"/>
      <c r="AI268" s="363">
        <f>ABS(INDEX(AI:AI,MATCH(AI262,$AA:$AA,0)+14)+INDEX(AI:AI,MATCH(AI262,$AA:$AA,0)+15)+INDEX(AI:AI,MATCH(AI262,$AA:$AA,0)+16))</f>
        <v>162</v>
      </c>
      <c r="AJ268" s="364"/>
      <c r="AK268" s="363">
        <f>ABS(INDEX(AK:AK,MATCH(AK262,$AA:$AA,0)+14)+INDEX(AK:AK,MATCH(AK262,$AA:$AA,0)+15)+INDEX(AK:AK,MATCH(AK262,$AA:$AA,0)+16))</f>
        <v>164</v>
      </c>
      <c r="AL268" s="364"/>
      <c r="AM268" s="363">
        <f>ABS(INDEX(AM:AM,MATCH(AM262,$AA:$AA,0)+14)+INDEX(AM:AM,MATCH(AM262,$AA:$AA,0)+15)+INDEX(AM:AM,MATCH(AM262,$AA:$AA,0)+16))</f>
        <v>157</v>
      </c>
      <c r="AN268" s="364"/>
      <c r="AO268" s="363">
        <f>ABS(INDEX(AO:AO,MATCH(AO262,$AA:$AA,0)+14)+INDEX(AO:AO,MATCH(AO262,$AA:$AA,0)+15)+INDEX(AO:AO,MATCH(AO262,$AA:$AA,0)+16))</f>
        <v>214</v>
      </c>
      <c r="AP268" s="364"/>
      <c r="AQ268" s="363">
        <f>ABS(INDEX(AQ:AQ,MATCH(AQ262,$AA:$AA,0)+14)+INDEX(AQ:AQ,MATCH(AQ262,$AA:$AA,0)+15)+INDEX(AQ:AQ,MATCH(AQ262,$AA:$AA,0)+16))</f>
        <v>135</v>
      </c>
      <c r="AR268" s="364"/>
      <c r="AS268" s="363">
        <f>ABS(INDEX(AS:AS,MATCH(AS262,$AA:$AA,0)+14)+INDEX(AS:AS,MATCH(AS262,$AA:$AA,0)+15)+INDEX(AS:AS,MATCH(AS262,$AA:$AA,0)+16))</f>
        <v>193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720</v>
      </c>
      <c r="E269" s="362" t="str">
        <f>IF(AD269=0,"",AD269)</f>
        <v/>
      </c>
      <c r="F269" s="362">
        <f>IF(AE269=1505,"",AE269)</f>
        <v>678</v>
      </c>
      <c r="G269" s="362" t="str">
        <f>IF(AF269=0,"",AF269)</f>
        <v/>
      </c>
      <c r="H269" s="362">
        <f>IF(AG269=1505,"",AG269)</f>
        <v>702</v>
      </c>
      <c r="I269" s="362" t="str">
        <f>IF(AH269=0,"",AH269)</f>
        <v/>
      </c>
      <c r="J269" s="362">
        <f>IF(AI269=1505,"",AI269)</f>
        <v>757</v>
      </c>
      <c r="K269" s="362" t="str">
        <f>IF(AJ269=0,"",AJ269)</f>
        <v/>
      </c>
      <c r="L269" s="362">
        <f>IF(AK269=1505,"",AK269)</f>
        <v>683</v>
      </c>
      <c r="M269" s="362" t="str">
        <f>IF(AL269=0,"",AL269)</f>
        <v/>
      </c>
      <c r="N269" s="362">
        <f>IF(AM269=1505,"",AM269)</f>
        <v>669</v>
      </c>
      <c r="O269" s="362" t="str">
        <f>IF(AN269=0,"",AN269)</f>
        <v/>
      </c>
      <c r="P269" s="362">
        <f>IF(AO269=1505,"",AO269)</f>
        <v>678</v>
      </c>
      <c r="Q269" s="362" t="str">
        <f>IF(AP269=0,"",AP269)</f>
        <v/>
      </c>
      <c r="R269" s="362">
        <f>IF(AQ269=1505,"",AQ269)</f>
        <v>716</v>
      </c>
      <c r="S269" s="362" t="str">
        <f>IF(AR269=0,"",AR269)</f>
        <v/>
      </c>
      <c r="T269" s="362">
        <f>IF(AS269=1505,"",AS269)</f>
        <v>721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720</v>
      </c>
      <c r="AD269" s="344"/>
      <c r="AE269" s="343">
        <f>SUM(AE265:AE268)</f>
        <v>678</v>
      </c>
      <c r="AF269" s="344"/>
      <c r="AG269" s="343">
        <f>SUM(AG265:AG268)</f>
        <v>702</v>
      </c>
      <c r="AH269" s="344"/>
      <c r="AI269" s="343">
        <f>SUM(AI265:AI268)</f>
        <v>757</v>
      </c>
      <c r="AJ269" s="344"/>
      <c r="AK269" s="343">
        <f>SUM(AK265:AK268)</f>
        <v>683</v>
      </c>
      <c r="AL269" s="344"/>
      <c r="AM269" s="343">
        <f>SUM(AM265:AM268)</f>
        <v>669</v>
      </c>
      <c r="AN269" s="344"/>
      <c r="AO269" s="343">
        <f>SUM(AO265:AO268)</f>
        <v>678</v>
      </c>
      <c r="AP269" s="344"/>
      <c r="AQ269" s="343">
        <f>SUM(AQ265:AQ268)</f>
        <v>716</v>
      </c>
      <c r="AR269" s="344"/>
      <c r="AS269" s="343">
        <f>SUM(AS265:AS268)</f>
        <v>721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02.11./03.11.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02.11./03.11.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Regensburg Super Bowl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5">
        <f>IF(AD277="","",AD277)</f>
        <v>1</v>
      </c>
      <c r="F277" s="75">
        <f t="shared" ref="F277:F290" si="314">IF(AE277=0,"",AE277)</f>
        <v>238</v>
      </c>
      <c r="G277" s="345">
        <f>IF(AF277="","",AF277)</f>
        <v>1</v>
      </c>
      <c r="H277" s="75">
        <f t="shared" ref="H277:H290" si="315">IF(AG277=0,"",AG277)</f>
        <v>163</v>
      </c>
      <c r="I277" s="345">
        <f>IF(AH277="","",AH277)</f>
        <v>0</v>
      </c>
      <c r="J277" s="75">
        <f t="shared" ref="J277:J290" si="316">IF(AI277=0,"",AI277)</f>
        <v>189</v>
      </c>
      <c r="K277" s="345">
        <f>IF(AJ277="","",AJ277)</f>
        <v>1</v>
      </c>
      <c r="L277" s="75">
        <f t="shared" ref="L277:L290" si="317">IF(AK277=0,"",AK277)</f>
        <v>157</v>
      </c>
      <c r="M277" s="345">
        <f>IF(AL277="","",AL277)</f>
        <v>0.5</v>
      </c>
      <c r="N277" s="75">
        <f>IF(AM277=0,"",AM277)</f>
        <v>168</v>
      </c>
      <c r="O277" s="345">
        <f>IF(AN277="","",AN277)</f>
        <v>1</v>
      </c>
      <c r="P277" s="75">
        <f t="shared" ref="P277:P290" si="318">IF(AO277=0,"",AO277)</f>
        <v>188</v>
      </c>
      <c r="Q277" s="345">
        <f>IF(AP277="","",AP277)</f>
        <v>1</v>
      </c>
      <c r="R277" s="75">
        <f t="shared" ref="R277:R290" si="319">IF(AQ277=0,"",AQ277)</f>
        <v>158</v>
      </c>
      <c r="S277" s="345">
        <f>IF(AR277="","",AR277)</f>
        <v>0</v>
      </c>
      <c r="T277" s="75">
        <f t="shared" ref="T277:T290" si="320">IF(AS277=0,"",AS277)</f>
        <v>172</v>
      </c>
      <c r="U277" s="345">
        <f>IF(AT277="","",AT277)</f>
        <v>1</v>
      </c>
      <c r="V277" s="75">
        <f t="shared" ref="V277:V290" si="321">IF(AU277=0,"",AU277)</f>
        <v>1670</v>
      </c>
      <c r="W277" s="345">
        <f>IF(AV277="","",AV277)</f>
        <v>6.5</v>
      </c>
      <c r="Z277" s="348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3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5">
        <f>IF(AD280="","",AD280)</f>
        <v>1</v>
      </c>
      <c r="F280" s="75">
        <f t="shared" si="314"/>
        <v>191</v>
      </c>
      <c r="G280" s="345">
        <f>IF(AF280="","",AF280)</f>
        <v>1</v>
      </c>
      <c r="H280" s="75">
        <f t="shared" si="315"/>
        <v>223</v>
      </c>
      <c r="I280" s="345">
        <f>IF(AH280="","",AH280)</f>
        <v>1</v>
      </c>
      <c r="J280" s="75">
        <f t="shared" si="316"/>
        <v>246</v>
      </c>
      <c r="K280" s="345">
        <f>IF(AJ280="","",AJ280)</f>
        <v>1</v>
      </c>
      <c r="L280" s="75">
        <f t="shared" si="317"/>
        <v>225</v>
      </c>
      <c r="M280" s="345">
        <f>IF(AL280="","",AL280)</f>
        <v>1</v>
      </c>
      <c r="N280" s="75">
        <f t="shared" si="334"/>
        <v>148</v>
      </c>
      <c r="O280" s="345">
        <f>IF(AN280="","",AN280)</f>
        <v>0</v>
      </c>
      <c r="P280" s="75">
        <f t="shared" si="318"/>
        <v>185</v>
      </c>
      <c r="Q280" s="345">
        <f>IF(AP280="","",AP280)</f>
        <v>1</v>
      </c>
      <c r="R280" s="75">
        <f t="shared" si="319"/>
        <v>185</v>
      </c>
      <c r="S280" s="345">
        <f>IF(AR280="","",AR280)</f>
        <v>1</v>
      </c>
      <c r="T280" s="75">
        <f t="shared" si="320"/>
        <v>204</v>
      </c>
      <c r="U280" s="345">
        <f>IF(AT280="","",AT280)</f>
        <v>1</v>
      </c>
      <c r="V280" s="75">
        <f t="shared" si="321"/>
        <v>1815</v>
      </c>
      <c r="W280" s="345">
        <f>IF(AV280="","",AV280)</f>
        <v>8</v>
      </c>
      <c r="Z280" s="348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0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8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3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5">
        <f>IF(AD283="","",AD283)</f>
        <v>0</v>
      </c>
      <c r="F283" s="75">
        <f t="shared" si="314"/>
        <v>155</v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>
        <f t="shared" si="317"/>
        <v>157</v>
      </c>
      <c r="M283" s="345">
        <f>IF(AL283="","",AL283)</f>
        <v>0</v>
      </c>
      <c r="N283" s="75">
        <f t="shared" si="334"/>
        <v>158</v>
      </c>
      <c r="O283" s="345">
        <f>IF(AN283="","",AN283)</f>
        <v>1</v>
      </c>
      <c r="P283" s="75">
        <f t="shared" si="318"/>
        <v>161</v>
      </c>
      <c r="Q283" s="345">
        <f>IF(AP283="","",AP283)</f>
        <v>1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>
        <f t="shared" si="321"/>
        <v>788</v>
      </c>
      <c r="W283" s="345">
        <f>IF(AV283="","",AV283)</f>
        <v>2</v>
      </c>
      <c r="Z283" s="348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4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6"/>
      <c r="F284" s="78" t="str">
        <f t="shared" si="314"/>
        <v/>
      </c>
      <c r="G284" s="346"/>
      <c r="H284" s="78">
        <f t="shared" si="315"/>
        <v>150</v>
      </c>
      <c r="I284" s="346"/>
      <c r="J284" s="78">
        <f t="shared" si="316"/>
        <v>160</v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>
        <f t="shared" si="319"/>
        <v>158</v>
      </c>
      <c r="S284" s="346"/>
      <c r="T284" s="78">
        <f t="shared" si="320"/>
        <v>160</v>
      </c>
      <c r="U284" s="346"/>
      <c r="V284" s="78">
        <f t="shared" si="321"/>
        <v>628</v>
      </c>
      <c r="W284" s="346"/>
      <c r="Z284" s="349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3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5">
        <f>IF(AD286="","",AD286)</f>
        <v>0</v>
      </c>
      <c r="F286" s="75">
        <f t="shared" si="314"/>
        <v>221</v>
      </c>
      <c r="G286" s="345">
        <f>IF(AF286="","",AF286)</f>
        <v>1</v>
      </c>
      <c r="H286" s="75">
        <f t="shared" si="315"/>
        <v>195</v>
      </c>
      <c r="I286" s="345">
        <f>IF(AH286="","",AH286)</f>
        <v>1</v>
      </c>
      <c r="J286" s="75">
        <f t="shared" si="316"/>
        <v>162</v>
      </c>
      <c r="K286" s="345">
        <f>IF(AJ286="","",AJ286)</f>
        <v>0</v>
      </c>
      <c r="L286" s="75">
        <f t="shared" si="317"/>
        <v>154</v>
      </c>
      <c r="M286" s="345">
        <f>IF(AL286="","",AL286)</f>
        <v>1</v>
      </c>
      <c r="N286" s="75">
        <f t="shared" si="334"/>
        <v>200</v>
      </c>
      <c r="O286" s="345">
        <f>IF(AN286="","",AN286)</f>
        <v>0.5</v>
      </c>
      <c r="P286" s="75">
        <f t="shared" si="318"/>
        <v>135</v>
      </c>
      <c r="Q286" s="345">
        <f>IF(AP286="","",AP286)</f>
        <v>0</v>
      </c>
      <c r="R286" s="75">
        <f t="shared" si="319"/>
        <v>183</v>
      </c>
      <c r="S286" s="345">
        <f>IF(AR286="","",AR286)</f>
        <v>1</v>
      </c>
      <c r="T286" s="75">
        <f t="shared" si="320"/>
        <v>205</v>
      </c>
      <c r="U286" s="345">
        <f>IF(AT286="","",AT286)</f>
        <v>1</v>
      </c>
      <c r="V286" s="75">
        <f t="shared" si="321"/>
        <v>1641</v>
      </c>
      <c r="W286" s="345">
        <f>IF(AV286="","",AV286)</f>
        <v>5.5</v>
      </c>
      <c r="Z286" s="348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0.5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5.5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0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16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16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2.5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38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2.5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38</v>
      </c>
      <c r="AW290" s="101"/>
      <c r="AX290" s="102"/>
      <c r="BA290" s="212">
        <f>+AV290</f>
        <v>38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38.006542000000003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6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2</v>
      </c>
      <c r="I292" s="353" t="str">
        <f t="shared" si="345"/>
        <v/>
      </c>
      <c r="J292" s="353">
        <f t="shared" si="345"/>
        <v>9</v>
      </c>
      <c r="K292" s="353" t="str">
        <f t="shared" si="345"/>
        <v/>
      </c>
      <c r="L292" s="353">
        <f t="shared" si="345"/>
        <v>1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7</v>
      </c>
      <c r="Q292" s="353" t="str">
        <f t="shared" si="345"/>
        <v/>
      </c>
      <c r="R292" s="353">
        <f t="shared" ref="N292:U294" si="346">IF(AQ292=0,"",AQ292)</f>
        <v>3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VLOOKUP($AA272,Schlüssel!$A$5:$DG$14,23)</f>
        <v>6</v>
      </c>
      <c r="AD292" s="368"/>
      <c r="AE292" s="367">
        <f>VLOOKUP($AA272,Schlüssel!$A$5:$EK$14,24)</f>
        <v>5</v>
      </c>
      <c r="AF292" s="368"/>
      <c r="AG292" s="367">
        <f>VLOOKUP($AA272,Schlüssel!$A$5:$EK$14,25)</f>
        <v>2</v>
      </c>
      <c r="AH292" s="368"/>
      <c r="AI292" s="367">
        <f>VLOOKUP($AA272,Schlüssel!$A$5:$EK$14,26)</f>
        <v>9</v>
      </c>
      <c r="AJ292" s="368"/>
      <c r="AK292" s="367">
        <f>VLOOKUP($AA272,Schlüssel!$A$5:$EK$14,27)</f>
        <v>1</v>
      </c>
      <c r="AL292" s="368"/>
      <c r="AM292" s="367">
        <f>VLOOKUP($AA272,Schlüssel!$A$5:$EK$14,28)</f>
        <v>4</v>
      </c>
      <c r="AN292" s="368"/>
      <c r="AO292" s="367">
        <f>VLOOKUP($AA272,Schlüssel!$A$5:$EK$14,29)</f>
        <v>7</v>
      </c>
      <c r="AP292" s="368"/>
      <c r="AQ292" s="367">
        <f>VLOOKUP($AA272,Schlüssel!$A$5:$EK$14,30)</f>
        <v>3</v>
      </c>
      <c r="AR292" s="368"/>
      <c r="AS292" s="367">
        <f>VLOOKUP($AA272,Schlüssel!$A$5:$EK$14,31)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5" t="str">
        <f t="shared" si="347"/>
        <v>Phönix 03 Lauf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BK München 2</v>
      </c>
      <c r="I293" s="356" t="str">
        <f t="shared" si="347"/>
        <v/>
      </c>
      <c r="J293" s="355" t="str">
        <f t="shared" si="347"/>
        <v>RW Lichtenhof 69 Stein 2</v>
      </c>
      <c r="K293" s="356" t="str">
        <f t="shared" si="347"/>
        <v/>
      </c>
      <c r="L293" s="355" t="str">
        <f t="shared" si="347"/>
        <v>Praetoria Regensburg</v>
      </c>
      <c r="M293" s="356" t="str">
        <f t="shared" si="347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Frankenpower Nürnberg</v>
      </c>
      <c r="Q293" s="356" t="str">
        <f t="shared" si="346"/>
        <v/>
      </c>
      <c r="R293" s="355" t="str">
        <f t="shared" si="346"/>
        <v>Highroller Rosenheim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Phönix 03 Lauf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BK München 2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Highroller Rosenheim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7"/>
        <v/>
      </c>
      <c r="M294" s="357" t="str">
        <f t="shared" si="347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176</v>
      </c>
      <c r="E295" s="359" t="str">
        <f>IF(AD295=0,"",AD295)</f>
        <v/>
      </c>
      <c r="F295" s="359">
        <f>IF(AE295=301,"",AE295)</f>
        <v>135</v>
      </c>
      <c r="G295" s="359" t="str">
        <f>IF(AF295=0,"",AF295)</f>
        <v/>
      </c>
      <c r="H295" s="359">
        <f>IF(AG295=301,"",AG295)</f>
        <v>182</v>
      </c>
      <c r="I295" s="359" t="str">
        <f>IF(AH295=0,"",AH295)</f>
        <v/>
      </c>
      <c r="J295" s="359">
        <f>IF(AI295=301,"",AI295)</f>
        <v>123</v>
      </c>
      <c r="K295" s="359" t="str">
        <f>IF(AJ295=0,"",AJ295)</f>
        <v/>
      </c>
      <c r="L295" s="359">
        <f>IF(AK295=301,"",AK295)</f>
        <v>157</v>
      </c>
      <c r="M295" s="359" t="str">
        <f>IF(AL295=0,"",AL295)</f>
        <v/>
      </c>
      <c r="N295" s="359">
        <f>IF(AM295=301,"",AM295)</f>
        <v>146</v>
      </c>
      <c r="O295" s="359" t="str">
        <f>IF(AN295=0,"",AN295)</f>
        <v/>
      </c>
      <c r="P295" s="359">
        <f>IF(AO295=301,"",AO295)</f>
        <v>167</v>
      </c>
      <c r="Q295" s="359" t="str">
        <f>IF(AP295=0,"",AP295)</f>
        <v/>
      </c>
      <c r="R295" s="359">
        <f>IF(AQ295=301,"",AQ295)</f>
        <v>189</v>
      </c>
      <c r="S295" s="359" t="str">
        <f>IF(AR295=0,"",AR295)</f>
        <v/>
      </c>
      <c r="T295" s="359">
        <f>IF(AS295=301,"",AS295)</f>
        <v>171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176</v>
      </c>
      <c r="AD295" s="366"/>
      <c r="AE295" s="365">
        <f>ABS(INDEX(AE:AE,MATCH(AE292,$AA:$AA,0)+5)+INDEX(AE:AE,MATCH(AE292,$AA:$AA,0)+6)+INDEX(AE:AE,MATCH(AE292,$AA:$AA,0)+7))</f>
        <v>135</v>
      </c>
      <c r="AF295" s="366"/>
      <c r="AG295" s="365">
        <f>ABS(INDEX(AG:AG,MATCH(AG292,$AA:$AA,0)+5)+INDEX(AG:AG,MATCH(AG292,$AA:$AA,0)+6)+INDEX(AG:AG,MATCH(AG292,$AA:$AA,0)+7))</f>
        <v>182</v>
      </c>
      <c r="AH295" s="366"/>
      <c r="AI295" s="365">
        <f>ABS(INDEX(AI:AI,MATCH(AI292,$AA:$AA,0)+5)+INDEX(AI:AI,MATCH(AI292,$AA:$AA,0)+6)+INDEX(AI:AI,MATCH(AI292,$AA:$AA,0)+7))</f>
        <v>123</v>
      </c>
      <c r="AJ295" s="366"/>
      <c r="AK295" s="365">
        <f>ABS(INDEX(AK:AK,MATCH(AK292,$AA:$AA,0)+5)+INDEX(AK:AK,MATCH(AK292,$AA:$AA,0)+6)+INDEX(AK:AK,MATCH(AK292,$AA:$AA,0)+7))</f>
        <v>157</v>
      </c>
      <c r="AL295" s="366"/>
      <c r="AM295" s="365">
        <f>ABS(INDEX(AM:AM,MATCH(AM292,$AA:$AA,0)+5)+INDEX(AM:AM,MATCH(AM292,$AA:$AA,0)+6)+INDEX(AM:AM,MATCH(AM292,$AA:$AA,0)+7))</f>
        <v>146</v>
      </c>
      <c r="AN295" s="366"/>
      <c r="AO295" s="365">
        <f>ABS(INDEX(AO:AO,MATCH(AO292,$AA:$AA,0)+5)+INDEX(AO:AO,MATCH(AO292,$AA:$AA,0)+6)+INDEX(AO:AO,MATCH(AO292,$AA:$AA,0)+7))</f>
        <v>167</v>
      </c>
      <c r="AP295" s="366"/>
      <c r="AQ295" s="365">
        <f>ABS(INDEX(AQ:AQ,MATCH(AQ292,$AA:$AA,0)+5)+INDEX(AQ:AQ,MATCH(AQ292,$AA:$AA,0)+6)+INDEX(AQ:AQ,MATCH(AQ292,$AA:$AA,0)+7))</f>
        <v>189</v>
      </c>
      <c r="AR295" s="366"/>
      <c r="AS295" s="365">
        <f>ABS(INDEX(AS:AS,MATCH(AS292,$AA:$AA,0)+5)+INDEX(AS:AS,MATCH(AS292,$AA:$AA,0)+6)+INDEX(AS:AS,MATCH(AS292,$AA:$AA,0)+7))</f>
        <v>171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128</v>
      </c>
      <c r="E296" s="359" t="str">
        <f>IF(AD296=0,"",AD296)</f>
        <v/>
      </c>
      <c r="F296" s="359">
        <f>IF(AE296=301,"",AE296)</f>
        <v>172</v>
      </c>
      <c r="G296" s="359" t="str">
        <f>IF(AF296=0,"",AF296)</f>
        <v/>
      </c>
      <c r="H296" s="359">
        <f>IF(AG296=301,"",AG296)</f>
        <v>189</v>
      </c>
      <c r="I296" s="359" t="str">
        <f>IF(AH296=0,"",AH296)</f>
        <v/>
      </c>
      <c r="J296" s="359">
        <f>IF(AI296=301,"",AI296)</f>
        <v>192</v>
      </c>
      <c r="K296" s="359" t="str">
        <f>IF(AJ296=0,"",AJ296)</f>
        <v/>
      </c>
      <c r="L296" s="359">
        <f>IF(AK296=301,"",AK296)</f>
        <v>169</v>
      </c>
      <c r="M296" s="359" t="str">
        <f>IF(AL296=0,"",AL296)</f>
        <v/>
      </c>
      <c r="N296" s="359">
        <f>IF(AM296=301,"",AM296)</f>
        <v>197</v>
      </c>
      <c r="O296" s="359" t="str">
        <f>IF(AN296=0,"",AN296)</f>
        <v/>
      </c>
      <c r="P296" s="359">
        <f>IF(AO296=301,"",AO296)</f>
        <v>162</v>
      </c>
      <c r="Q296" s="359" t="str">
        <f>IF(AP296=0,"",AP296)</f>
        <v/>
      </c>
      <c r="R296" s="359">
        <f>IF(AQ296=301,"",AQ296)</f>
        <v>149</v>
      </c>
      <c r="S296" s="359" t="str">
        <f>IF(AR296=0,"",AR296)</f>
        <v/>
      </c>
      <c r="T296" s="359">
        <f>IF(AS296=301,"",AS296)</f>
        <v>180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128</v>
      </c>
      <c r="AD296" s="364"/>
      <c r="AE296" s="363">
        <f>ABS(INDEX(AE:AE,MATCH(AE292,$AA:$AA,0)+8)+INDEX(AE:AE,MATCH(AE292,$AA:$AA,0)+9)+INDEX(AE:AE,MATCH(AE292,$AA:$AA,0)+10))</f>
        <v>172</v>
      </c>
      <c r="AF296" s="364"/>
      <c r="AG296" s="363">
        <f>ABS(INDEX(AG:AG,MATCH(AG292,$AA:$AA,0)+8)+INDEX(AG:AG,MATCH(AG292,$AA:$AA,0)+9)+INDEX(AG:AG,MATCH(AG292,$AA:$AA,0)+10))</f>
        <v>189</v>
      </c>
      <c r="AH296" s="364"/>
      <c r="AI296" s="363">
        <f>ABS(INDEX(AI:AI,MATCH(AI292,$AA:$AA,0)+8)+INDEX(AI:AI,MATCH(AI292,$AA:$AA,0)+9)+INDEX(AI:AI,MATCH(AI292,$AA:$AA,0)+10))</f>
        <v>192</v>
      </c>
      <c r="AJ296" s="364"/>
      <c r="AK296" s="363">
        <f>ABS(INDEX(AK:AK,MATCH(AK292,$AA:$AA,0)+8)+INDEX(AK:AK,MATCH(AK292,$AA:$AA,0)+9)+INDEX(AK:AK,MATCH(AK292,$AA:$AA,0)+10))</f>
        <v>169</v>
      </c>
      <c r="AL296" s="364"/>
      <c r="AM296" s="363">
        <f>ABS(INDEX(AM:AM,MATCH(AM292,$AA:$AA,0)+8)+INDEX(AM:AM,MATCH(AM292,$AA:$AA,0)+9)+INDEX(AM:AM,MATCH(AM292,$AA:$AA,0)+10))</f>
        <v>197</v>
      </c>
      <c r="AN296" s="364"/>
      <c r="AO296" s="363">
        <f>ABS(INDEX(AO:AO,MATCH(AO292,$AA:$AA,0)+8)+INDEX(AO:AO,MATCH(AO292,$AA:$AA,0)+9)+INDEX(AO:AO,MATCH(AO292,$AA:$AA,0)+10))</f>
        <v>162</v>
      </c>
      <c r="AP296" s="364"/>
      <c r="AQ296" s="363">
        <f>ABS(INDEX(AQ:AQ,MATCH(AQ292,$AA:$AA,0)+8)+INDEX(AQ:AQ,MATCH(AQ292,$AA:$AA,0)+9)+INDEX(AQ:AQ,MATCH(AQ292,$AA:$AA,0)+10))</f>
        <v>149</v>
      </c>
      <c r="AR296" s="364"/>
      <c r="AS296" s="363">
        <f>ABS(INDEX(AS:AS,MATCH(AS292,$AA:$AA,0)+8)+INDEX(AS:AS,MATCH(AS292,$AA:$AA,0)+9)+INDEX(AS:AS,MATCH(AS292,$AA:$AA,0)+10))</f>
        <v>180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169</v>
      </c>
      <c r="E297" s="359" t="str">
        <f>IF(AD297=0,"",AD297)</f>
        <v/>
      </c>
      <c r="F297" s="359">
        <f>IF(AE297=301,"",AE297)</f>
        <v>184</v>
      </c>
      <c r="G297" s="359" t="str">
        <f>IF(AF297=0,"",AF297)</f>
        <v/>
      </c>
      <c r="H297" s="359">
        <f>IF(AG297=301,"",AG297)</f>
        <v>167</v>
      </c>
      <c r="I297" s="359" t="str">
        <f>IF(AH297=0,"",AH297)</f>
        <v/>
      </c>
      <c r="J297" s="359">
        <f>IF(AI297=301,"",AI297)</f>
        <v>170</v>
      </c>
      <c r="K297" s="359" t="str">
        <f>IF(AJ297=0,"",AJ297)</f>
        <v/>
      </c>
      <c r="L297" s="359">
        <f>IF(AK297=301,"",AK297)</f>
        <v>162</v>
      </c>
      <c r="M297" s="359" t="str">
        <f>IF(AL297=0,"",AL297)</f>
        <v/>
      </c>
      <c r="N297" s="359">
        <f>IF(AM297=301,"",AM297)</f>
        <v>148</v>
      </c>
      <c r="O297" s="359" t="str">
        <f>IF(AN297=0,"",AN297)</f>
        <v/>
      </c>
      <c r="P297" s="359">
        <f>IF(AO297=301,"",AO297)</f>
        <v>150</v>
      </c>
      <c r="Q297" s="359" t="str">
        <f>IF(AP297=0,"",AP297)</f>
        <v/>
      </c>
      <c r="R297" s="359">
        <f>IF(AQ297=301,"",AQ297)</f>
        <v>163</v>
      </c>
      <c r="S297" s="359" t="str">
        <f>IF(AR297=0,"",AR297)</f>
        <v/>
      </c>
      <c r="T297" s="359">
        <f>IF(AS297=301,"",AS297)</f>
        <v>185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169</v>
      </c>
      <c r="AD297" s="364"/>
      <c r="AE297" s="363">
        <f>ABS(INDEX(AE:AE,MATCH(AE292,$AA:$AA,0)+11)+INDEX(AE:AE,MATCH(AE292,$AA:$AA,0)+12)+INDEX(AE:AE,MATCH(AE292,$AA:$AA,0)+13))</f>
        <v>184</v>
      </c>
      <c r="AF297" s="364"/>
      <c r="AG297" s="363">
        <f>ABS(INDEX(AG:AG,MATCH(AG292,$AA:$AA,0)+11)+INDEX(AG:AG,MATCH(AG292,$AA:$AA,0)+12)+INDEX(AG:AG,MATCH(AG292,$AA:$AA,0)+13))</f>
        <v>167</v>
      </c>
      <c r="AH297" s="364"/>
      <c r="AI297" s="363">
        <f>ABS(INDEX(AI:AI,MATCH(AI292,$AA:$AA,0)+11)+INDEX(AI:AI,MATCH(AI292,$AA:$AA,0)+12)+INDEX(AI:AI,MATCH(AI292,$AA:$AA,0)+13))</f>
        <v>170</v>
      </c>
      <c r="AJ297" s="364"/>
      <c r="AK297" s="363">
        <f>ABS(INDEX(AK:AK,MATCH(AK292,$AA:$AA,0)+11)+INDEX(AK:AK,MATCH(AK292,$AA:$AA,0)+12)+INDEX(AK:AK,MATCH(AK292,$AA:$AA,0)+13))</f>
        <v>162</v>
      </c>
      <c r="AL297" s="364"/>
      <c r="AM297" s="363">
        <f>ABS(INDEX(AM:AM,MATCH(AM292,$AA:$AA,0)+11)+INDEX(AM:AM,MATCH(AM292,$AA:$AA,0)+12)+INDEX(AM:AM,MATCH(AM292,$AA:$AA,0)+13))</f>
        <v>148</v>
      </c>
      <c r="AN297" s="364"/>
      <c r="AO297" s="363">
        <f>ABS(INDEX(AO:AO,MATCH(AO292,$AA:$AA,0)+11)+INDEX(AO:AO,MATCH(AO292,$AA:$AA,0)+12)+INDEX(AO:AO,MATCH(AO292,$AA:$AA,0)+13))</f>
        <v>150</v>
      </c>
      <c r="AP297" s="364"/>
      <c r="AQ297" s="363">
        <f>ABS(INDEX(AQ:AQ,MATCH(AQ292,$AA:$AA,0)+11)+INDEX(AQ:AQ,MATCH(AQ292,$AA:$AA,0)+12)+INDEX(AQ:AQ,MATCH(AQ292,$AA:$AA,0)+13))</f>
        <v>163</v>
      </c>
      <c r="AR297" s="364"/>
      <c r="AS297" s="363">
        <f>ABS(INDEX(AS:AS,MATCH(AS292,$AA:$AA,0)+11)+INDEX(AS:AS,MATCH(AS292,$AA:$AA,0)+12)+INDEX(AS:AS,MATCH(AS292,$AA:$AA,0)+13))</f>
        <v>185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205</v>
      </c>
      <c r="E298" s="359" t="str">
        <f>IF(AD298=0,"",AD298)</f>
        <v/>
      </c>
      <c r="F298" s="359">
        <f>IF(AE298=301,"",AE298)</f>
        <v>155</v>
      </c>
      <c r="G298" s="359" t="str">
        <f>IF(AF298=0,"",AF298)</f>
        <v/>
      </c>
      <c r="H298" s="359">
        <f>IF(AG298=301,"",AG298)</f>
        <v>182</v>
      </c>
      <c r="I298" s="359" t="str">
        <f>IF(AH298=0,"",AH298)</f>
        <v/>
      </c>
      <c r="J298" s="359">
        <f>IF(AI298=301,"",AI298)</f>
        <v>205</v>
      </c>
      <c r="K298" s="359" t="str">
        <f>IF(AJ298=0,"",AJ298)</f>
        <v/>
      </c>
      <c r="L298" s="359">
        <f>IF(AK298=301,"",AK298)</f>
        <v>148</v>
      </c>
      <c r="M298" s="359" t="str">
        <f>IF(AL298=0,"",AL298)</f>
        <v/>
      </c>
      <c r="N298" s="359">
        <f>IF(AM298=301,"",AM298)</f>
        <v>200</v>
      </c>
      <c r="O298" s="359" t="str">
        <f>IF(AN298=0,"",AN298)</f>
        <v/>
      </c>
      <c r="P298" s="359">
        <f>IF(AO298=301,"",AO298)</f>
        <v>168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160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205</v>
      </c>
      <c r="AD298" s="364"/>
      <c r="AE298" s="363">
        <f>ABS(INDEX(AE:AE,MATCH(AE292,$AA:$AA,0)+14)+INDEX(AE:AE,MATCH(AE292,$AA:$AA,0)+15)+INDEX(AE:AE,MATCH(AE292,$AA:$AA,0)+16))</f>
        <v>155</v>
      </c>
      <c r="AF298" s="364"/>
      <c r="AG298" s="363">
        <f>ABS(INDEX(AG:AG,MATCH(AG292,$AA:$AA,0)+14)+INDEX(AG:AG,MATCH(AG292,$AA:$AA,0)+15)+INDEX(AG:AG,MATCH(AG292,$AA:$AA,0)+16))</f>
        <v>182</v>
      </c>
      <c r="AH298" s="364"/>
      <c r="AI298" s="363">
        <f>ABS(INDEX(AI:AI,MATCH(AI292,$AA:$AA,0)+14)+INDEX(AI:AI,MATCH(AI292,$AA:$AA,0)+15)+INDEX(AI:AI,MATCH(AI292,$AA:$AA,0)+16))</f>
        <v>205</v>
      </c>
      <c r="AJ298" s="364"/>
      <c r="AK298" s="363">
        <f>ABS(INDEX(AK:AK,MATCH(AK292,$AA:$AA,0)+14)+INDEX(AK:AK,MATCH(AK292,$AA:$AA,0)+15)+INDEX(AK:AK,MATCH(AK292,$AA:$AA,0)+16))</f>
        <v>148</v>
      </c>
      <c r="AL298" s="364"/>
      <c r="AM298" s="363">
        <f>ABS(INDEX(AM:AM,MATCH(AM292,$AA:$AA,0)+14)+INDEX(AM:AM,MATCH(AM292,$AA:$AA,0)+15)+INDEX(AM:AM,MATCH(AM292,$AA:$AA,0)+16))</f>
        <v>200</v>
      </c>
      <c r="AN298" s="364"/>
      <c r="AO298" s="363">
        <f>ABS(INDEX(AO:AO,MATCH(AO292,$AA:$AA,0)+14)+INDEX(AO:AO,MATCH(AO292,$AA:$AA,0)+15)+INDEX(AO:AO,MATCH(AO292,$AA:$AA,0)+16))</f>
        <v>168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160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678</v>
      </c>
      <c r="E299" s="362" t="str">
        <f>IF(AD299=0,"",AD299)</f>
        <v/>
      </c>
      <c r="F299" s="362">
        <f>IF(AE299=1505,"",AE299)</f>
        <v>646</v>
      </c>
      <c r="G299" s="362" t="str">
        <f>IF(AF299=0,"",AF299)</f>
        <v/>
      </c>
      <c r="H299" s="362">
        <f>IF(AG299=1505,"",AG299)</f>
        <v>720</v>
      </c>
      <c r="I299" s="362" t="str">
        <f>IF(AH299=0,"",AH299)</f>
        <v/>
      </c>
      <c r="J299" s="362">
        <f>IF(AI299=1505,"",AI299)</f>
        <v>690</v>
      </c>
      <c r="K299" s="362" t="str">
        <f>IF(AJ299=0,"",AJ299)</f>
        <v/>
      </c>
      <c r="L299" s="362">
        <f>IF(AK299=1505,"",AK299)</f>
        <v>636</v>
      </c>
      <c r="M299" s="362" t="str">
        <f>IF(AL299=0,"",AL299)</f>
        <v/>
      </c>
      <c r="N299" s="362">
        <f>IF(AM299=1505,"",AM299)</f>
        <v>691</v>
      </c>
      <c r="O299" s="362" t="str">
        <f>IF(AN299=0,"",AN299)</f>
        <v/>
      </c>
      <c r="P299" s="362">
        <f>IF(AO299=1505,"",AO299)</f>
        <v>647</v>
      </c>
      <c r="Q299" s="362" t="str">
        <f>IF(AP299=0,"",AP299)</f>
        <v/>
      </c>
      <c r="R299" s="362">
        <f>IF(AQ299=1505,"",AQ299)</f>
        <v>672</v>
      </c>
      <c r="S299" s="362" t="str">
        <f>IF(AR299=0,"",AR299)</f>
        <v/>
      </c>
      <c r="T299" s="362">
        <f>IF(AS299=1505,"",AS299)</f>
        <v>696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678</v>
      </c>
      <c r="AD299" s="344"/>
      <c r="AE299" s="343">
        <f>SUM(AE295:AE298)</f>
        <v>646</v>
      </c>
      <c r="AF299" s="344"/>
      <c r="AG299" s="343">
        <f>SUM(AG295:AG298)</f>
        <v>720</v>
      </c>
      <c r="AH299" s="344"/>
      <c r="AI299" s="343">
        <f>SUM(AI295:AI298)</f>
        <v>690</v>
      </c>
      <c r="AJ299" s="344"/>
      <c r="AK299" s="343">
        <f>SUM(AK295:AK298)</f>
        <v>636</v>
      </c>
      <c r="AL299" s="344"/>
      <c r="AM299" s="343">
        <f>SUM(AM295:AM298)</f>
        <v>691</v>
      </c>
      <c r="AN299" s="344"/>
      <c r="AO299" s="343">
        <f>SUM(AO295:AO298)</f>
        <v>647</v>
      </c>
      <c r="AP299" s="344"/>
      <c r="AQ299" s="343">
        <f>SUM(AQ295:AQ298)</f>
        <v>672</v>
      </c>
      <c r="AR299" s="344"/>
      <c r="AS299" s="343">
        <f>SUM(AS295:AS298)</f>
        <v>696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+Erfassung2!AE2</f>
        <v>Regensburg Super Bowl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2.5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38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63.5</v>
      </c>
      <c r="AC7" s="215">
        <f>+AB7+AA7/1000000000</f>
        <v>63.500012759999997</v>
      </c>
      <c r="AD7" s="215">
        <f>RANK(AC7,AC:AC)</f>
        <v>3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5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33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60.5</v>
      </c>
      <c r="AC8" s="215">
        <f t="shared" ref="AC8:AC16" si="1">+AB8+AA8/1000000000</f>
        <v>60.500012757999997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1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5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29.5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40.5</v>
      </c>
      <c r="AC10" s="215">
        <f t="shared" si="1"/>
        <v>40.500012232000003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5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28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68</v>
      </c>
      <c r="AC11" s="215">
        <f t="shared" si="1"/>
        <v>68.000013042999996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5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27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39</v>
      </c>
      <c r="AC12" s="215">
        <f t="shared" si="1"/>
        <v>39.000012013000003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Frankenpower Nürnberg</v>
      </c>
      <c r="C13" s="129">
        <f>INDEX(Erfassung2!AC:AC,MATCH($A13,Erfassung2!$BR:$BR,0)-1)</f>
        <v>684</v>
      </c>
      <c r="D13" s="130">
        <f>INDEX(Erfassung2!AD:AD,MATCH($A13,Erfassung2!$BR:$BR,0))</f>
        <v>2</v>
      </c>
      <c r="E13" s="129">
        <f>INDEX(Erfassung2!AE:AE,MATCH($A13,Erfassung2!$BR:$BR,0)-1)</f>
        <v>668</v>
      </c>
      <c r="F13" s="130">
        <f>INDEX(Erfassung2!AF:AF,MATCH($A13,Erfassung2!$BR:$BR,0))</f>
        <v>1</v>
      </c>
      <c r="G13" s="129">
        <f>INDEX(Erfassung2!AG:AG,MATCH($A13,Erfassung2!$BR:$BR,0)-1)</f>
        <v>702</v>
      </c>
      <c r="H13" s="130">
        <f>INDEX(Erfassung2!AH:AH,MATCH($A13,Erfassung2!$BR:$BR,0))</f>
        <v>3</v>
      </c>
      <c r="I13" s="129">
        <f>INDEX(Erfassung2!AI:AI,MATCH($A13,Erfassung2!$BR:$BR,0)-1)</f>
        <v>722</v>
      </c>
      <c r="J13" s="130">
        <f>INDEX(Erfassung2!AJ:AJ,MATCH($A13,Erfassung2!$BR:$BR,0))</f>
        <v>4</v>
      </c>
      <c r="K13" s="129">
        <f>INDEX(Erfassung2!AK:AK,MATCH($A13,Erfassung2!$BR:$BR,0)-1)</f>
        <v>745</v>
      </c>
      <c r="L13" s="130">
        <f>INDEX(Erfassung2!AL:AL,MATCH($A13,Erfassung2!$BR:$BR,0))</f>
        <v>5</v>
      </c>
      <c r="M13" s="129">
        <f>INDEX(Erfassung2!AM:AM,MATCH($A13,Erfassung2!$BR:$BR,0)-1)</f>
        <v>700</v>
      </c>
      <c r="N13" s="130">
        <f>INDEX(Erfassung2!AN:AN,MATCH($A13,Erfassung2!$BR:$BR,0))</f>
        <v>2</v>
      </c>
      <c r="O13" s="129">
        <f>INDEX(Erfassung2!AO:AO,MATCH($A13,Erfassung2!$BR:$BR,0)-1)</f>
        <v>647</v>
      </c>
      <c r="P13" s="130">
        <f>INDEX(Erfassung2!AP:AP,MATCH($A13,Erfassung2!$BR:$BR,0))</f>
        <v>1</v>
      </c>
      <c r="Q13" s="129">
        <f>INDEX(Erfassung2!AQ:AQ,MATCH($A13,Erfassung2!$BR:$BR,0)-1)</f>
        <v>661</v>
      </c>
      <c r="R13" s="130">
        <f>INDEX(Erfassung2!AR:AR,MATCH($A13,Erfassung2!$BR:$BR,0))</f>
        <v>1</v>
      </c>
      <c r="S13" s="129">
        <f>INDEX(Erfassung2!AS:AS,MATCH($A13,Erfassung2!$BR:$BR,0)-1)</f>
        <v>706</v>
      </c>
      <c r="T13" s="130">
        <f>INDEX(Erfassung2!AT:AT,MATCH($A13,Erfassung2!$BR:$BR,0))</f>
        <v>5</v>
      </c>
      <c r="U13" s="131">
        <f t="shared" si="0"/>
        <v>6235</v>
      </c>
      <c r="V13" s="132">
        <f t="shared" si="0"/>
        <v>24</v>
      </c>
      <c r="W13" s="224">
        <f>IFERROR(U13/INDEX(Erfassung2!BF:BF,MATCH(A13,Erfassung2!BR:BR,0)),0)</f>
        <v>173.19444444444446</v>
      </c>
      <c r="X13" s="25"/>
      <c r="AA13" s="225">
        <f>INDEX(Tabelle1!U:U,MATCH(B13,Tabelle1!B:B,0))+U13</f>
        <v>12391</v>
      </c>
      <c r="AB13" s="226">
        <f>INDEX(Tabelle1!V:V,MATCH(B13,Tabelle1!B:B,0))+V13</f>
        <v>46.5</v>
      </c>
      <c r="AC13" s="215">
        <f t="shared" si="1"/>
        <v>46.500012390999999</v>
      </c>
      <c r="AD13" s="215">
        <f t="shared" si="2"/>
        <v>7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BK München 2</v>
      </c>
      <c r="C14" s="129">
        <f>INDEX(Erfassung2!AC:AC,MATCH($A14,Erfassung2!$BR:$BR,0)-1)</f>
        <v>720</v>
      </c>
      <c r="D14" s="130">
        <f>INDEX(Erfassung2!AD:AD,MATCH($A14,Erfassung2!$BR:$BR,0))</f>
        <v>1</v>
      </c>
      <c r="E14" s="129">
        <f>INDEX(Erfassung2!AE:AE,MATCH($A14,Erfassung2!$BR:$BR,0)-1)</f>
        <v>644</v>
      </c>
      <c r="F14" s="130">
        <f>INDEX(Erfassung2!AF:AF,MATCH($A14,Erfassung2!$BR:$BR,0))</f>
        <v>0</v>
      </c>
      <c r="G14" s="129">
        <f>INDEX(Erfassung2!AG:AG,MATCH($A14,Erfassung2!$BR:$BR,0)-1)</f>
        <v>720</v>
      </c>
      <c r="H14" s="130">
        <f>INDEX(Erfassung2!AH:AH,MATCH($A14,Erfassung2!$BR:$BR,0))</f>
        <v>2</v>
      </c>
      <c r="I14" s="129">
        <f>INDEX(Erfassung2!AI:AI,MATCH($A14,Erfassung2!$BR:$BR,0)-1)</f>
        <v>728</v>
      </c>
      <c r="J14" s="130">
        <f>INDEX(Erfassung2!AJ:AJ,MATCH($A14,Erfassung2!$BR:$BR,0))</f>
        <v>1</v>
      </c>
      <c r="K14" s="129">
        <f>INDEX(Erfassung2!AK:AK,MATCH($A14,Erfassung2!$BR:$BR,0)-1)</f>
        <v>700</v>
      </c>
      <c r="L14" s="130">
        <f>INDEX(Erfassung2!AL:AL,MATCH($A14,Erfassung2!$BR:$BR,0))</f>
        <v>4</v>
      </c>
      <c r="M14" s="129">
        <f>INDEX(Erfassung2!AM:AM,MATCH($A14,Erfassung2!$BR:$BR,0)-1)</f>
        <v>712</v>
      </c>
      <c r="N14" s="130">
        <f>INDEX(Erfassung2!AN:AN,MATCH($A14,Erfassung2!$BR:$BR,0))</f>
        <v>4</v>
      </c>
      <c r="O14" s="129">
        <f>INDEX(Erfassung2!AO:AO,MATCH($A14,Erfassung2!$BR:$BR,0)-1)</f>
        <v>695</v>
      </c>
      <c r="P14" s="130">
        <f>INDEX(Erfassung2!AP:AP,MATCH($A14,Erfassung2!$BR:$BR,0))</f>
        <v>1</v>
      </c>
      <c r="Q14" s="129">
        <f>INDEX(Erfassung2!AQ:AQ,MATCH($A14,Erfassung2!$BR:$BR,0)-1)</f>
        <v>726</v>
      </c>
      <c r="R14" s="130">
        <f>INDEX(Erfassung2!AR:AR,MATCH($A14,Erfassung2!$BR:$BR,0))</f>
        <v>6</v>
      </c>
      <c r="S14" s="129">
        <f>INDEX(Erfassung2!AS:AS,MATCH($A14,Erfassung2!$BR:$BR,0)-1)</f>
        <v>760</v>
      </c>
      <c r="T14" s="130">
        <f>INDEX(Erfassung2!AT:AT,MATCH($A14,Erfassung2!$BR:$BR,0))</f>
        <v>4.5</v>
      </c>
      <c r="U14" s="131">
        <f t="shared" si="0"/>
        <v>6405</v>
      </c>
      <c r="V14" s="132">
        <f t="shared" si="0"/>
        <v>23.5</v>
      </c>
      <c r="W14" s="224">
        <f>IFERROR(U14/INDEX(Erfassung2!BF:BF,MATCH(A14,Erfassung2!BR:BR,0)),0)</f>
        <v>177.91666666666666</v>
      </c>
      <c r="X14" s="25"/>
      <c r="AA14" s="225">
        <f>INDEX(Tabelle1!U:U,MATCH(B14,Tabelle1!B:B,0))+U14</f>
        <v>13014</v>
      </c>
      <c r="AB14" s="226">
        <f>INDEX(Tabelle1!V:V,MATCH(B14,Tabelle1!B:B,0))+V14</f>
        <v>54</v>
      </c>
      <c r="AC14" s="215">
        <f t="shared" si="1"/>
        <v>54.000013013999997</v>
      </c>
      <c r="AD14" s="215">
        <f t="shared" si="2"/>
        <v>6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Phönix 03 Lauf</v>
      </c>
      <c r="C15" s="129">
        <f>INDEX(Erfassung2!AC:AC,MATCH($A15,Erfassung2!$BR:$BR,0)-1)</f>
        <v>678</v>
      </c>
      <c r="D15" s="130">
        <f>INDEX(Erfassung2!AD:AD,MATCH($A15,Erfassung2!$BR:$BR,0))</f>
        <v>2</v>
      </c>
      <c r="E15" s="129">
        <f>INDEX(Erfassung2!AE:AE,MATCH($A15,Erfassung2!$BR:$BR,0)-1)</f>
        <v>678</v>
      </c>
      <c r="F15" s="130">
        <f>INDEX(Erfassung2!AF:AF,MATCH($A15,Erfassung2!$BR:$BR,0))</f>
        <v>5</v>
      </c>
      <c r="G15" s="129">
        <f>INDEX(Erfassung2!AG:AG,MATCH($A15,Erfassung2!$BR:$BR,0)-1)</f>
        <v>678</v>
      </c>
      <c r="H15" s="130">
        <f>INDEX(Erfassung2!AH:AH,MATCH($A15,Erfassung2!$BR:$BR,0))</f>
        <v>1</v>
      </c>
      <c r="I15" s="129">
        <f>INDEX(Erfassung2!AI:AI,MATCH($A15,Erfassung2!$BR:$BR,0)-1)</f>
        <v>648</v>
      </c>
      <c r="J15" s="130">
        <f>INDEX(Erfassung2!AJ:AJ,MATCH($A15,Erfassung2!$BR:$BR,0))</f>
        <v>0</v>
      </c>
      <c r="K15" s="129">
        <f>INDEX(Erfassung2!AK:AK,MATCH($A15,Erfassung2!$BR:$BR,0)-1)</f>
        <v>612</v>
      </c>
      <c r="L15" s="130">
        <f>INDEX(Erfassung2!AL:AL,MATCH($A15,Erfassung2!$BR:$BR,0))</f>
        <v>1</v>
      </c>
      <c r="M15" s="129">
        <f>INDEX(Erfassung2!AM:AM,MATCH($A15,Erfassung2!$BR:$BR,0)-1)</f>
        <v>648</v>
      </c>
      <c r="N15" s="130">
        <f>INDEX(Erfassung2!AN:AN,MATCH($A15,Erfassung2!$BR:$BR,0))</f>
        <v>2</v>
      </c>
      <c r="O15" s="129">
        <f>INDEX(Erfassung2!AO:AO,MATCH($A15,Erfassung2!$BR:$BR,0)-1)</f>
        <v>684</v>
      </c>
      <c r="P15" s="130">
        <f>INDEX(Erfassung2!AP:AP,MATCH($A15,Erfassung2!$BR:$BR,0))</f>
        <v>4</v>
      </c>
      <c r="Q15" s="129">
        <f>INDEX(Erfassung2!AQ:AQ,MATCH($A15,Erfassung2!$BR:$BR,0)-1)</f>
        <v>758</v>
      </c>
      <c r="R15" s="130">
        <f>INDEX(Erfassung2!AR:AR,MATCH($A15,Erfassung2!$BR:$BR,0))</f>
        <v>5</v>
      </c>
      <c r="S15" s="129">
        <f>INDEX(Erfassung2!AS:AS,MATCH($A15,Erfassung2!$BR:$BR,0)-1)</f>
        <v>722</v>
      </c>
      <c r="T15" s="130">
        <f>INDEX(Erfassung2!AT:AT,MATCH($A15,Erfassung2!$BR:$BR,0))</f>
        <v>1.5</v>
      </c>
      <c r="U15" s="131">
        <f t="shared" si="0"/>
        <v>6106</v>
      </c>
      <c r="V15" s="132">
        <f t="shared" si="0"/>
        <v>21.5</v>
      </c>
      <c r="W15" s="224">
        <f>IFERROR(U15/INDEX(Erfassung2!BF:BF,MATCH(A15,Erfassung2!BR:BR,0)),0)</f>
        <v>169.61111111111111</v>
      </c>
      <c r="X15" s="25"/>
      <c r="AA15" s="225">
        <f>INDEX(Tabelle1!U:U,MATCH(B15,Tabelle1!B:B,0))+U15</f>
        <v>12808</v>
      </c>
      <c r="AB15" s="226">
        <f>INDEX(Tabelle1!V:V,MATCH(B15,Tabelle1!B:B,0))+V15</f>
        <v>60.5</v>
      </c>
      <c r="AC15" s="215">
        <f t="shared" si="1"/>
        <v>60.500012808000001</v>
      </c>
      <c r="AD15" s="215">
        <f t="shared" si="2"/>
        <v>4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652</v>
      </c>
      <c r="D16" s="130">
        <f>INDEX(Erfassung2!AD:AD,MATCH($A16,Erfassung2!$BR:$BR,0))</f>
        <v>1</v>
      </c>
      <c r="E16" s="129">
        <f>INDEX(Erfassung2!AE:AE,MATCH($A16,Erfassung2!$BR:$BR,0)-1)</f>
        <v>653</v>
      </c>
      <c r="F16" s="130">
        <f>INDEX(Erfassung2!AF:AF,MATCH($A16,Erfassung2!$BR:$BR,0))</f>
        <v>1</v>
      </c>
      <c r="G16" s="129">
        <f>INDEX(Erfassung2!AG:AG,MATCH($A16,Erfassung2!$BR:$BR,0)-1)</f>
        <v>659</v>
      </c>
      <c r="H16" s="130">
        <f>INDEX(Erfassung2!AH:AH,MATCH($A16,Erfassung2!$BR:$BR,0))</f>
        <v>1</v>
      </c>
      <c r="I16" s="129">
        <f>INDEX(Erfassung2!AI:AI,MATCH($A16,Erfassung2!$BR:$BR,0)-1)</f>
        <v>672</v>
      </c>
      <c r="J16" s="130">
        <f>INDEX(Erfassung2!AJ:AJ,MATCH($A16,Erfassung2!$BR:$BR,0))</f>
        <v>0</v>
      </c>
      <c r="K16" s="129">
        <f>INDEX(Erfassung2!AK:AK,MATCH($A16,Erfassung2!$BR:$BR,0)-1)</f>
        <v>751</v>
      </c>
      <c r="L16" s="130">
        <f>INDEX(Erfassung2!AL:AL,MATCH($A16,Erfassung2!$BR:$BR,0))</f>
        <v>5</v>
      </c>
      <c r="M16" s="129">
        <f>INDEX(Erfassung2!AM:AM,MATCH($A16,Erfassung2!$BR:$BR,0)-1)</f>
        <v>691</v>
      </c>
      <c r="N16" s="130">
        <f>INDEX(Erfassung2!AN:AN,MATCH($A16,Erfassung2!$BR:$BR,0))</f>
        <v>3.5</v>
      </c>
      <c r="O16" s="129">
        <f>INDEX(Erfassung2!AO:AO,MATCH($A16,Erfassung2!$BR:$BR,0)-1)</f>
        <v>678</v>
      </c>
      <c r="P16" s="130">
        <f>INDEX(Erfassung2!AP:AP,MATCH($A16,Erfassung2!$BR:$BR,0))</f>
        <v>1</v>
      </c>
      <c r="Q16" s="129">
        <f>INDEX(Erfassung2!AQ:AQ,MATCH($A16,Erfassung2!$BR:$BR,0)-1)</f>
        <v>596</v>
      </c>
      <c r="R16" s="130">
        <f>INDEX(Erfassung2!AR:AR,MATCH($A16,Erfassung2!$BR:$BR,0))</f>
        <v>0</v>
      </c>
      <c r="S16" s="129">
        <f>INDEX(Erfassung2!AS:AS,MATCH($A16,Erfassung2!$BR:$BR,0)-1)</f>
        <v>690</v>
      </c>
      <c r="T16" s="130">
        <f>INDEX(Erfassung2!AT:AT,MATCH($A16,Erfassung2!$BR:$BR,0))</f>
        <v>1</v>
      </c>
      <c r="U16" s="131">
        <f t="shared" si="0"/>
        <v>6042</v>
      </c>
      <c r="V16" s="132">
        <f t="shared" si="0"/>
        <v>13.5</v>
      </c>
      <c r="W16" s="224">
        <f>IFERROR(U16/INDEX(Erfassung2!BF:BF,MATCH(A16,Erfassung2!BR:BR,0)),0)</f>
        <v>167.83333333333334</v>
      </c>
      <c r="X16" s="25"/>
      <c r="AA16" s="225">
        <f>INDEX(Tabelle1!U:U,MATCH(B16,Tabelle1!B:B,0))+U16</f>
        <v>12142</v>
      </c>
      <c r="AB16" s="226">
        <f>INDEX(Tabelle1!V:V,MATCH(B16,Tabelle1!B:B,0))+V16</f>
        <v>37.5</v>
      </c>
      <c r="AC16" s="215">
        <f t="shared" si="1"/>
        <v>37.500012142000003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81" t="str">
        <f>IFERROR(ROUND(INDEX(Erfassung2!BW:BW,MATCH(1,Erfassung2!BZ:BZ,0)),0),"")&amp;"  /  "&amp;ROUND(IFERROR(ROUND(INDEX(Erfassung2!BW:BW,MATCH(1,Erfassung2!BZ:BZ,0)),0),"")/9,2)</f>
        <v>1815  /  201,67</v>
      </c>
      <c r="O24" s="381"/>
      <c r="P24" s="381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1799</v>
      </c>
      <c r="H5" s="377"/>
      <c r="I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5"/>
    </row>
    <row r="7" spans="1:31" ht="42" customHeight="1" thickBot="1" x14ac:dyDescent="0.3">
      <c r="A7" s="34">
        <v>1</v>
      </c>
      <c r="B7" s="128" t="str">
        <f>INDEX(Tabelle2!B:B,MATCH(A7,Tabelle2!AD:AD,0))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143">
        <f t="shared" ref="G7:G16" si="0">SUM(C7+E7)</f>
        <v>13187</v>
      </c>
      <c r="H7" s="144">
        <f t="shared" ref="H7:H16" si="1">SUM(D7+F7)</f>
        <v>70</v>
      </c>
      <c r="I7" s="37">
        <f>G7/INDEX(Tabelle2!$AE:$AE,MATCH($B7,Tabelle2!$B:$B,0))</f>
        <v>183.15277777777777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40</v>
      </c>
      <c r="E8" s="35">
        <f>INDEX(Tabelle2!U:U,MATCH(B8,Tabelle2!B:B,0))</f>
        <v>6285</v>
      </c>
      <c r="F8" s="36">
        <f>INDEX(Tabelle2!V:V,MATCH(B8,Tabelle2!B:B,0))</f>
        <v>28</v>
      </c>
      <c r="G8" s="143">
        <f t="shared" si="0"/>
        <v>13043</v>
      </c>
      <c r="H8" s="144">
        <f t="shared" si="1"/>
        <v>68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BK München 4</v>
      </c>
      <c r="C9" s="35">
        <f>INDEX(Tabelle1!U:U,MATCH(B9,Tabelle1!B:B,0))</f>
        <v>6218</v>
      </c>
      <c r="D9" s="36">
        <f>INDEX(Tabelle1!V:V,MATCH(B9,Tabelle1!B:B,0))</f>
        <v>25.5</v>
      </c>
      <c r="E9" s="35">
        <f>INDEX(Tabelle2!U:U,MATCH(B9,Tabelle2!B:B,0))</f>
        <v>6542</v>
      </c>
      <c r="F9" s="36">
        <f>INDEX(Tabelle2!V:V,MATCH(B9,Tabelle2!B:B,0))</f>
        <v>38</v>
      </c>
      <c r="G9" s="143">
        <f t="shared" si="0"/>
        <v>12760</v>
      </c>
      <c r="H9" s="144">
        <f t="shared" si="1"/>
        <v>63.5</v>
      </c>
      <c r="I9" s="37">
        <f>G9/INDEX(Tabelle2!$AE:$AE,MATCH($B9,Tabelle2!$B:$B,0))</f>
        <v>177.22222222222223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39</v>
      </c>
      <c r="E10" s="35">
        <f>INDEX(Tabelle2!U:U,MATCH(B10,Tabelle2!B:B,0))</f>
        <v>6106</v>
      </c>
      <c r="F10" s="36">
        <f>INDEX(Tabelle2!V:V,MATCH(B10,Tabelle2!B:B,0))</f>
        <v>21.5</v>
      </c>
      <c r="G10" s="143">
        <f t="shared" si="0"/>
        <v>12808</v>
      </c>
      <c r="H10" s="144">
        <f t="shared" si="1"/>
        <v>60.5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27.5</v>
      </c>
      <c r="E11" s="35">
        <f>INDEX(Tabelle2!U:U,MATCH(B11,Tabelle2!B:B,0))</f>
        <v>6351</v>
      </c>
      <c r="F11" s="36">
        <f>INDEX(Tabelle2!V:V,MATCH(B11,Tabelle2!B:B,0))</f>
        <v>33</v>
      </c>
      <c r="G11" s="143">
        <f t="shared" si="0"/>
        <v>12758</v>
      </c>
      <c r="H11" s="144">
        <f t="shared" si="1"/>
        <v>60.5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30.5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54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22.5</v>
      </c>
      <c r="E13" s="35">
        <f>INDEX(Tabelle2!U:U,MATCH(B13,Tabelle2!B:B,0))</f>
        <v>6235</v>
      </c>
      <c r="F13" s="36">
        <f>INDEX(Tabelle2!V:V,MATCH(B13,Tabelle2!B:B,0))</f>
        <v>24</v>
      </c>
      <c r="G13" s="143">
        <f t="shared" si="0"/>
        <v>12391</v>
      </c>
      <c r="H13" s="144">
        <f t="shared" si="1"/>
        <v>46.5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11</v>
      </c>
      <c r="E14" s="35">
        <f>INDEX(Tabelle2!U:U,MATCH(B14,Tabelle2!B:B,0))</f>
        <v>6349</v>
      </c>
      <c r="F14" s="36">
        <f>INDEX(Tabelle2!V:V,MATCH(B14,Tabelle2!B:B,0))</f>
        <v>29.5</v>
      </c>
      <c r="G14" s="143">
        <f t="shared" si="0"/>
        <v>12232</v>
      </c>
      <c r="H14" s="144">
        <f t="shared" si="1"/>
        <v>40.5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12</v>
      </c>
      <c r="E15" s="35">
        <f>INDEX(Tabelle2!U:U,MATCH(B15,Tabelle2!B:B,0))</f>
        <v>6208</v>
      </c>
      <c r="F15" s="36">
        <f>INDEX(Tabelle2!V:V,MATCH(B15,Tabelle2!B:B,0))</f>
        <v>27</v>
      </c>
      <c r="G15" s="143">
        <f t="shared" si="0"/>
        <v>12013</v>
      </c>
      <c r="H15" s="144">
        <f t="shared" si="1"/>
        <v>39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6100</v>
      </c>
      <c r="D16" s="36">
        <f>INDEX(Tabelle1!V:V,MATCH(B16,Tabelle1!B:B,0))</f>
        <v>24</v>
      </c>
      <c r="E16" s="35">
        <f>INDEX(Tabelle2!U:U,MATCH(B16,Tabelle2!B:B,0))</f>
        <v>6042</v>
      </c>
      <c r="F16" s="36">
        <f>INDEX(Tabelle2!V:V,MATCH(B16,Tabelle2!B:B,0))</f>
        <v>13.5</v>
      </c>
      <c r="G16" s="143">
        <f t="shared" si="0"/>
        <v>12142</v>
      </c>
      <c r="H16" s="144">
        <f t="shared" si="1"/>
        <v>37.5</v>
      </c>
      <c r="I16" s="37">
        <f>G16/INDEX(Tabelle2!$AE:$AE,MATCH($B16,Tabelle2!$B:$B,0))</f>
        <v>168.63888888888889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20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31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47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29</v>
      </c>
    </row>
    <row r="6" spans="1:16" x14ac:dyDescent="0.25">
      <c r="A6">
        <f t="shared" ref="A6:A37" si="6">IFERROR(IF(A5+1&gt;MAX(P:P)-1,"",A5+1),"")</f>
        <v>2</v>
      </c>
      <c r="B6">
        <f t="shared" si="2"/>
        <v>16595</v>
      </c>
      <c r="C6" t="str">
        <f>IFERROR(INDEX(Starter!B:B,MATCH(B6,Starter!A:A,0)),"")</f>
        <v>Schott, Nicole</v>
      </c>
      <c r="D6" t="str">
        <f>IFERROR(INDEX(Starter!C:C,MATCH(B6,Starter!A:A,0)),"")</f>
        <v>BK München</v>
      </c>
      <c r="E6" s="102">
        <f t="shared" si="3"/>
        <v>1743</v>
      </c>
      <c r="F6">
        <f t="shared" si="4"/>
        <v>9</v>
      </c>
      <c r="G6" s="137">
        <f t="shared" si="5"/>
        <v>193.66666665366665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12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1734</v>
      </c>
      <c r="F7">
        <f t="shared" si="4"/>
        <v>9</v>
      </c>
      <c r="G7" s="137">
        <f t="shared" si="5"/>
        <v>192.66666659766665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9</v>
      </c>
    </row>
    <row r="8" spans="1:16" x14ac:dyDescent="0.25">
      <c r="A8">
        <f t="shared" si="6"/>
        <v>4</v>
      </c>
      <c r="B8">
        <f t="shared" si="2"/>
        <v>38553</v>
      </c>
      <c r="C8" t="str">
        <f>IFERROR(INDEX(Starter!B:B,MATCH(B8,Starter!A:A,0)),"")</f>
        <v>Kirschke, Saskia</v>
      </c>
      <c r="D8" t="str">
        <f>IFERROR(INDEX(Starter!C:C,MATCH(B8,Starter!A:A,0)),"")</f>
        <v>BK München</v>
      </c>
      <c r="E8" s="102">
        <f t="shared" si="3"/>
        <v>1729</v>
      </c>
      <c r="F8">
        <f t="shared" si="4"/>
        <v>9</v>
      </c>
      <c r="G8" s="137">
        <f t="shared" si="5"/>
        <v>192.11111110111111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47</v>
      </c>
    </row>
    <row r="9" spans="1:16" x14ac:dyDescent="0.25">
      <c r="A9">
        <f t="shared" si="6"/>
        <v>5</v>
      </c>
      <c r="B9">
        <f t="shared" si="2"/>
        <v>7801</v>
      </c>
      <c r="C9" t="str">
        <f>IFERROR(INDEX(Starter!B:B,MATCH(B9,Starter!A:A,0)),"")</f>
        <v>Schuster, Katharina</v>
      </c>
      <c r="D9" t="str">
        <f>IFERROR(INDEX(Starter!C:C,MATCH(B9,Starter!A:A,0)),"")</f>
        <v>BC Phönix 03 Lauf</v>
      </c>
      <c r="E9" s="102">
        <f t="shared" si="3"/>
        <v>1710</v>
      </c>
      <c r="F9">
        <f t="shared" si="4"/>
        <v>9</v>
      </c>
      <c r="G9" s="137">
        <f t="shared" si="5"/>
        <v>189.999999944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18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1699</v>
      </c>
      <c r="F10">
        <f t="shared" si="4"/>
        <v>9</v>
      </c>
      <c r="G10" s="137">
        <f t="shared" si="5"/>
        <v>188.77777775377777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4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1670</v>
      </c>
      <c r="F11">
        <f t="shared" si="4"/>
        <v>9</v>
      </c>
      <c r="G11" s="137">
        <f t="shared" si="5"/>
        <v>185.55555553755553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36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SUMIF(Erfassung2!BD:BD,L12,Erfassung2!BW:BW)</f>
        <v>1519</v>
      </c>
      <c r="N12">
        <f>SUMIF(Erfassung2!BD:BD,L12,Erfassung2!BG:BG)</f>
        <v>9</v>
      </c>
      <c r="O12">
        <f t="shared" si="0"/>
        <v>168.77777776577778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1645</v>
      </c>
      <c r="F13">
        <f t="shared" si="4"/>
        <v>9</v>
      </c>
      <c r="G13" s="137">
        <f t="shared" si="5"/>
        <v>182.77777777077776</v>
      </c>
      <c r="L13" s="227">
        <f>INDEX(Starter!A:A,ROW()-1)</f>
        <v>16595</v>
      </c>
      <c r="M13">
        <f>SUMIF(Erfassung2!BD:BD,L13,Erfassung2!BW:BW)</f>
        <v>1743</v>
      </c>
      <c r="N13">
        <f>SUMIF(Erfassung2!BD:BD,L13,Erfassung2!BG:BG)</f>
        <v>9</v>
      </c>
      <c r="O13">
        <f t="shared" si="0"/>
        <v>193.66666665366665</v>
      </c>
      <c r="P13">
        <f t="shared" si="1"/>
        <v>2</v>
      </c>
    </row>
    <row r="14" spans="1:16" x14ac:dyDescent="0.25">
      <c r="A14">
        <f t="shared" si="6"/>
        <v>10</v>
      </c>
      <c r="B14">
        <f t="shared" si="2"/>
        <v>7575</v>
      </c>
      <c r="C14" t="str">
        <f>IFERROR(INDEX(Starter!B:B,MATCH(B14,Starter!A:A,0)),"")</f>
        <v>Dozauer, Jessica</v>
      </c>
      <c r="D14" t="str">
        <f>IFERROR(INDEX(Starter!C:C,MATCH(B14,Starter!A:A,0)),"")</f>
        <v>BK München</v>
      </c>
      <c r="E14" s="102">
        <f t="shared" si="3"/>
        <v>1641</v>
      </c>
      <c r="F14">
        <f t="shared" si="4"/>
        <v>9</v>
      </c>
      <c r="G14" s="137">
        <f t="shared" si="5"/>
        <v>182.33333331633335</v>
      </c>
      <c r="L14" s="227">
        <f>INDEX(Starter!A:A,ROW()-1)</f>
        <v>7061</v>
      </c>
      <c r="M14">
        <f>SUMIF(Erfassung2!BD:BD,L14,Erfassung2!BW:BW)</f>
        <v>1225</v>
      </c>
      <c r="N14">
        <f>SUMIF(Erfassung2!BD:BD,L14,Erfassung2!BG:BG)</f>
        <v>7</v>
      </c>
      <c r="O14">
        <f t="shared" si="0"/>
        <v>174.99999998600001</v>
      </c>
      <c r="P14">
        <f t="shared" si="1"/>
        <v>22</v>
      </c>
    </row>
    <row r="15" spans="1:16" x14ac:dyDescent="0.25">
      <c r="A15">
        <f t="shared" si="6"/>
        <v>11</v>
      </c>
      <c r="B15">
        <f t="shared" si="2"/>
        <v>7534</v>
      </c>
      <c r="C15" t="str">
        <f>IFERROR(INDEX(Starter!B:B,MATCH(B15,Starter!A:A,0)),"")</f>
        <v>Lieb, Anja</v>
      </c>
      <c r="D15" t="str">
        <f>IFERROR(INDEX(Starter!C:C,MATCH(B15,Starter!A:A,0)),"")</f>
        <v>BC E.P.A. München</v>
      </c>
      <c r="E15" s="102">
        <f t="shared" si="3"/>
        <v>1632</v>
      </c>
      <c r="F15">
        <f t="shared" si="4"/>
        <v>9</v>
      </c>
      <c r="G15" s="137">
        <f t="shared" si="5"/>
        <v>181.33333326233335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16170</v>
      </c>
      <c r="C16" t="str">
        <f>IFERROR(INDEX(Starter!B:B,MATCH(B16,Starter!A:A,0)),"")</f>
        <v>Wölki, Elisabeth</v>
      </c>
      <c r="D16" t="str">
        <f>IFERROR(INDEX(Starter!C:C,MATCH(B16,Starter!A:A,0)),"")</f>
        <v>BC Praetoria</v>
      </c>
      <c r="E16" s="102">
        <f t="shared" si="3"/>
        <v>1087</v>
      </c>
      <c r="F16">
        <f t="shared" si="4"/>
        <v>6</v>
      </c>
      <c r="G16" s="137">
        <f t="shared" si="5"/>
        <v>181.16666666066666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16414</v>
      </c>
      <c r="C17" t="str">
        <f>IFERROR(INDEX(Starter!B:B,MATCH(B17,Starter!A:A,0)),"")</f>
        <v>Dornacher, Hannelore</v>
      </c>
      <c r="D17" t="str">
        <f>IFERROR(INDEX(Starter!C:C,MATCH(B17,Starter!A:A,0)),"")</f>
        <v>BF Weiß-Blau</v>
      </c>
      <c r="E17" s="102">
        <f t="shared" si="3"/>
        <v>1623</v>
      </c>
      <c r="F17">
        <f t="shared" si="4"/>
        <v>9</v>
      </c>
      <c r="G17" s="137">
        <f t="shared" si="5"/>
        <v>180.33333328733335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10</v>
      </c>
    </row>
    <row r="18" spans="1:16" x14ac:dyDescent="0.25">
      <c r="A18">
        <f t="shared" si="6"/>
        <v>14</v>
      </c>
      <c r="B18">
        <f t="shared" si="2"/>
        <v>7431</v>
      </c>
      <c r="C18" t="str">
        <f>IFERROR(INDEX(Starter!B:B,MATCH(B18,Starter!A:A,0)),"")</f>
        <v>Denz, Angelika</v>
      </c>
      <c r="D18" t="str">
        <f>IFERROR(INDEX(Starter!C:C,MATCH(B18,Starter!A:A,0)),"")</f>
        <v>BF Weiß-Blau</v>
      </c>
      <c r="E18" s="102">
        <f t="shared" si="3"/>
        <v>1615</v>
      </c>
      <c r="F18">
        <f t="shared" si="4"/>
        <v>9</v>
      </c>
      <c r="G18" s="137">
        <f t="shared" si="5"/>
        <v>179.44444440044447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1613</v>
      </c>
      <c r="F19">
        <f t="shared" si="4"/>
        <v>9</v>
      </c>
      <c r="G19" s="137">
        <f t="shared" si="5"/>
        <v>179.22222216722224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41</v>
      </c>
    </row>
    <row r="20" spans="1:16" x14ac:dyDescent="0.25">
      <c r="A20">
        <f t="shared" si="6"/>
        <v>16</v>
      </c>
      <c r="B20">
        <f t="shared" si="2"/>
        <v>38513</v>
      </c>
      <c r="C20" t="str">
        <f>IFERROR(INDEX(Starter!B:B,MATCH(B20,Starter!A:A,0)),"")</f>
        <v>Thöne, Melanie</v>
      </c>
      <c r="D20" t="str">
        <f>IFERROR(INDEX(Starter!C:C,MATCH(B20,Starter!A:A,0)),"")</f>
        <v>BF Rot-Weiß Lichtenhof 69</v>
      </c>
      <c r="E20" s="102">
        <f t="shared" si="3"/>
        <v>1598</v>
      </c>
      <c r="F20">
        <f t="shared" si="4"/>
        <v>9</v>
      </c>
      <c r="G20" s="137">
        <f t="shared" si="5"/>
        <v>177.55555549655554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7087</v>
      </c>
      <c r="C21" t="str">
        <f>IFERROR(INDEX(Starter!B:B,MATCH(B21,Starter!A:A,0)),"")</f>
        <v>Albert, Beate</v>
      </c>
      <c r="D21" t="str">
        <f>IFERROR(INDEX(Starter!C:C,MATCH(B21,Starter!A:A,0)),"")</f>
        <v>BF Weiß-Blau</v>
      </c>
      <c r="E21" s="102">
        <f t="shared" si="3"/>
        <v>1595</v>
      </c>
      <c r="F21">
        <f t="shared" si="4"/>
        <v>9</v>
      </c>
      <c r="G21" s="137">
        <f t="shared" si="5"/>
        <v>177.22222217722222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47</v>
      </c>
    </row>
    <row r="22" spans="1:16" x14ac:dyDescent="0.25">
      <c r="A22">
        <f t="shared" si="6"/>
        <v>18</v>
      </c>
      <c r="B22">
        <f t="shared" si="2"/>
        <v>38438</v>
      </c>
      <c r="C22" t="str">
        <f>IFERROR(INDEX(Starter!B:B,MATCH(B22,Starter!A:A,0)),"")</f>
        <v>Hassforth, Lea</v>
      </c>
      <c r="D22" t="str">
        <f>IFERROR(INDEX(Starter!C:C,MATCH(B22,Starter!A:A,0)),"")</f>
        <v>BK München</v>
      </c>
      <c r="E22" s="102">
        <f t="shared" si="3"/>
        <v>1594</v>
      </c>
      <c r="F22">
        <f t="shared" si="4"/>
        <v>9</v>
      </c>
      <c r="G22" s="137">
        <f t="shared" si="5"/>
        <v>177.11111110211112</v>
      </c>
      <c r="L22" s="227">
        <f>INDEX(Starter!A:A,ROW()-1)</f>
        <v>7991</v>
      </c>
      <c r="M22">
        <f>SUMIF(Erfassung2!BD:BD,L22,Erfassung2!BW:BW)</f>
        <v>983</v>
      </c>
      <c r="N22">
        <f>SUMIF(Erfassung2!BD:BD,L22,Erfassung2!BG:BG)</f>
        <v>7</v>
      </c>
      <c r="O22">
        <f t="shared" si="0"/>
        <v>140.42857140657142</v>
      </c>
      <c r="P22">
        <f t="shared" si="1"/>
        <v>46</v>
      </c>
    </row>
    <row r="23" spans="1:16" x14ac:dyDescent="0.25">
      <c r="A23">
        <f t="shared" si="6"/>
        <v>19</v>
      </c>
      <c r="B23">
        <f t="shared" si="2"/>
        <v>7758</v>
      </c>
      <c r="C23" t="str">
        <f>IFERROR(INDEX(Starter!B:B,MATCH(B23,Starter!A:A,0)),"")</f>
        <v>Deinlein, Christine</v>
      </c>
      <c r="D23" t="str">
        <f>IFERROR(INDEX(Starter!C:C,MATCH(B23,Starter!A:A,0)),"")</f>
        <v>BC Frankenpower</v>
      </c>
      <c r="E23" s="102">
        <f t="shared" si="3"/>
        <v>1584</v>
      </c>
      <c r="F23">
        <f t="shared" si="4"/>
        <v>9</v>
      </c>
      <c r="G23" s="137">
        <f t="shared" si="5"/>
        <v>175.99999997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25751</v>
      </c>
      <c r="C24" t="str">
        <f>IFERROR(INDEX(Starter!B:B,MATCH(B24,Starter!A:A,0)),"")</f>
        <v>Schlundt, Sabrina</v>
      </c>
      <c r="D24" t="str">
        <f>IFERROR(INDEX(Starter!C:C,MATCH(B24,Starter!A:A,0)),"")</f>
        <v>BC Praetoria</v>
      </c>
      <c r="E24" s="102">
        <f t="shared" si="3"/>
        <v>1583</v>
      </c>
      <c r="F24">
        <f t="shared" si="4"/>
        <v>9</v>
      </c>
      <c r="G24" s="137">
        <f t="shared" si="5"/>
        <v>175.88888888688888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38289</v>
      </c>
      <c r="C25" t="str">
        <f>IFERROR(INDEX(Starter!B:B,MATCH(B25,Starter!A:A,0)),"")</f>
        <v>Kirschke, Sandra</v>
      </c>
      <c r="D25" t="str">
        <f>IFERROR(INDEX(Starter!C:C,MATCH(B25,Starter!A:A,0)),"")</f>
        <v>BC LA Bowling</v>
      </c>
      <c r="E25" s="102">
        <f t="shared" si="3"/>
        <v>1583</v>
      </c>
      <c r="F25">
        <f t="shared" si="4"/>
        <v>9</v>
      </c>
      <c r="G25" s="137">
        <f t="shared" si="5"/>
        <v>175.88888881688888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34</v>
      </c>
    </row>
    <row r="26" spans="1:16" x14ac:dyDescent="0.25">
      <c r="A26">
        <f t="shared" si="6"/>
        <v>22</v>
      </c>
      <c r="B26">
        <f t="shared" si="2"/>
        <v>7061</v>
      </c>
      <c r="C26" t="str">
        <f>IFERROR(INDEX(Starter!B:B,MATCH(B26,Starter!A:A,0)),"")</f>
        <v>Waigel, Petra</v>
      </c>
      <c r="D26" t="str">
        <f>IFERROR(INDEX(Starter!C:C,MATCH(B26,Starter!A:A,0)),"")</f>
        <v>BK München</v>
      </c>
      <c r="E26" s="102">
        <f t="shared" si="3"/>
        <v>1225</v>
      </c>
      <c r="F26">
        <f t="shared" si="4"/>
        <v>7</v>
      </c>
      <c r="G26" s="137">
        <f t="shared" si="5"/>
        <v>174.99999998600001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1571</v>
      </c>
      <c r="F27">
        <f t="shared" si="4"/>
        <v>9</v>
      </c>
      <c r="G27" s="137">
        <f t="shared" si="5"/>
        <v>174.55555552355554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7976</v>
      </c>
      <c r="C28" t="str">
        <f>IFERROR(INDEX(Starter!B:B,MATCH(B28,Starter!A:A,0)),"")</f>
        <v>Martisko, Petra</v>
      </c>
      <c r="D28" t="str">
        <f>IFERROR(INDEX(Starter!C:C,MATCH(B28,Starter!A:A,0)),"")</f>
        <v>BF Rot-Weiß Lichtenhof 69</v>
      </c>
      <c r="E28" s="102">
        <f t="shared" si="3"/>
        <v>1569</v>
      </c>
      <c r="F28">
        <f t="shared" si="4"/>
        <v>9</v>
      </c>
      <c r="G28" s="137">
        <f t="shared" si="5"/>
        <v>174.33333327233333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47</v>
      </c>
    </row>
    <row r="29" spans="1:16" x14ac:dyDescent="0.25">
      <c r="A29">
        <f t="shared" si="6"/>
        <v>25</v>
      </c>
      <c r="B29">
        <f t="shared" si="2"/>
        <v>7753</v>
      </c>
      <c r="C29" t="str">
        <f>IFERROR(INDEX(Starter!B:B,MATCH(B29,Starter!A:A,0)),"")</f>
        <v>Krämer, Gisela</v>
      </c>
      <c r="D29" t="str">
        <f>IFERROR(INDEX(Starter!C:C,MATCH(B29,Starter!A:A,0)),"")</f>
        <v>BC Frankenpower</v>
      </c>
      <c r="E29" s="102">
        <f t="shared" si="3"/>
        <v>1566</v>
      </c>
      <c r="F29">
        <f t="shared" si="4"/>
        <v>9</v>
      </c>
      <c r="G29" s="137">
        <f t="shared" si="5"/>
        <v>173.99999997099999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25</v>
      </c>
    </row>
    <row r="30" spans="1:16" x14ac:dyDescent="0.25">
      <c r="A30">
        <f t="shared" si="6"/>
        <v>26</v>
      </c>
      <c r="B30">
        <f t="shared" si="2"/>
        <v>38458</v>
      </c>
      <c r="C30" t="str">
        <f>IFERROR(INDEX(Starter!B:B,MATCH(B30,Starter!A:A,0)),"")</f>
        <v>Lindner, Theresa</v>
      </c>
      <c r="D30" t="str">
        <f>IFERROR(INDEX(Starter!C:C,MATCH(B30,Starter!A:A,0)),"")</f>
        <v>BSC Highroller Rosenheim</v>
      </c>
      <c r="E30" s="102">
        <f t="shared" si="3"/>
        <v>694</v>
      </c>
      <c r="F30">
        <f t="shared" si="4"/>
        <v>4</v>
      </c>
      <c r="G30" s="137">
        <f t="shared" si="5"/>
        <v>173.49999993500001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1558</v>
      </c>
      <c r="F31">
        <f t="shared" si="4"/>
        <v>9</v>
      </c>
      <c r="G31" s="137">
        <f t="shared" si="5"/>
        <v>173.11111108411112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33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1544</v>
      </c>
      <c r="F32">
        <f t="shared" si="4"/>
        <v>9</v>
      </c>
      <c r="G32" s="137">
        <f t="shared" si="5"/>
        <v>171.55555549555555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7903</v>
      </c>
      <c r="C33" t="str">
        <f>IFERROR(INDEX(Starter!B:B,MATCH(B33,Starter!A:A,0)),"")</f>
        <v>Spieler, Regina</v>
      </c>
      <c r="D33" t="str">
        <f>IFERROR(INDEX(Starter!C:C,MATCH(B33,Starter!A:A,0)),"")</f>
        <v>BC Praetoria</v>
      </c>
      <c r="E33" s="102">
        <f t="shared" si="3"/>
        <v>855</v>
      </c>
      <c r="F33">
        <f t="shared" si="4"/>
        <v>5</v>
      </c>
      <c r="G33" s="137">
        <f t="shared" si="5"/>
        <v>170.999999995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1519</v>
      </c>
      <c r="F34">
        <f t="shared" si="4"/>
        <v>9</v>
      </c>
      <c r="G34" s="137">
        <f t="shared" si="5"/>
        <v>168.77777776577778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47</v>
      </c>
    </row>
    <row r="35" spans="1:16" x14ac:dyDescent="0.25">
      <c r="A35">
        <f t="shared" si="6"/>
        <v>31</v>
      </c>
      <c r="B35">
        <f t="shared" si="2"/>
        <v>38258</v>
      </c>
      <c r="C35" t="str">
        <f>IFERROR(INDEX(Starter!B:B,MATCH(B35,Starter!A:A,0)),"")</f>
        <v>Bösl, Anna</v>
      </c>
      <c r="D35" t="str">
        <f>IFERROR(INDEX(Starter!C:C,MATCH(B35,Starter!A:A,0)),"")</f>
        <v>BC Praetoria</v>
      </c>
      <c r="E35" s="102">
        <f t="shared" si="3"/>
        <v>1181</v>
      </c>
      <c r="F35">
        <f t="shared" si="4"/>
        <v>7</v>
      </c>
      <c r="G35" s="137">
        <f t="shared" si="5"/>
        <v>168.71428571128573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47</v>
      </c>
    </row>
    <row r="36" spans="1:16" x14ac:dyDescent="0.25">
      <c r="A36">
        <f t="shared" si="6"/>
        <v>32</v>
      </c>
      <c r="B36">
        <f t="shared" si="2"/>
        <v>21185</v>
      </c>
      <c r="C36" t="str">
        <f>IFERROR(INDEX(Starter!B:B,MATCH(B36,Starter!A:A,0)),"")</f>
        <v>Richter, Petra</v>
      </c>
      <c r="D36" t="str">
        <f>IFERROR(INDEX(Starter!C:C,MATCH(B36,Starter!A:A,0)),"")</f>
        <v>BF Weiß-Blau</v>
      </c>
      <c r="E36" s="102">
        <f t="shared" si="3"/>
        <v>1516</v>
      </c>
      <c r="F36">
        <f t="shared" si="4"/>
        <v>9</v>
      </c>
      <c r="G36" s="137">
        <f t="shared" si="5"/>
        <v>168.44444439344446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47</v>
      </c>
    </row>
    <row r="37" spans="1:16" x14ac:dyDescent="0.25">
      <c r="A37">
        <f t="shared" si="6"/>
        <v>33</v>
      </c>
      <c r="B37">
        <f t="shared" ref="B37:B68" si="7">IFERROR(INDEX(L:L,MATCH(A37,P:P,0)),"")</f>
        <v>7757</v>
      </c>
      <c r="C37" t="str">
        <f>IFERROR(INDEX(Starter!B:B,MATCH(B37,Starter!A:A,0)),"")</f>
        <v>Legl, Renate</v>
      </c>
      <c r="D37" t="str">
        <f>IFERROR(INDEX(Starter!C:C,MATCH(B37,Starter!A:A,0)),"")</f>
        <v>BC Frankenpower</v>
      </c>
      <c r="E37" s="102">
        <f t="shared" ref="E37:E68" si="8">IFERROR(INDEX(M:M,MATCH(A37,P:P,0)),"")</f>
        <v>1514</v>
      </c>
      <c r="F37">
        <f t="shared" ref="F37:F68" si="9">IFERROR(INDEX(N:N,MATCH(A37,P:P,0)),"")</f>
        <v>9</v>
      </c>
      <c r="G37" s="137">
        <f t="shared" ref="G37:G68" si="10">IFERROR(INDEX(O:O,MATCH(A37,P:P,0)),"")</f>
        <v>168.22222219122222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47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38757</v>
      </c>
      <c r="C38" t="str">
        <f>IFERROR(INDEX(Starter!B:B,MATCH(B38,Starter!A:A,0)),"")</f>
        <v>Schanze, Bianka</v>
      </c>
      <c r="D38" t="str">
        <f>IFERROR(INDEX(Starter!C:C,MATCH(B38,Starter!A:A,0)),"")</f>
        <v>BSC Highroller Rosenheim</v>
      </c>
      <c r="E38" s="102">
        <f t="shared" si="8"/>
        <v>1176</v>
      </c>
      <c r="F38">
        <f t="shared" si="9"/>
        <v>7</v>
      </c>
      <c r="G38" s="137">
        <f t="shared" si="10"/>
        <v>167.99999997500001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47</v>
      </c>
    </row>
    <row r="39" spans="1:16" x14ac:dyDescent="0.25">
      <c r="A39">
        <f t="shared" si="11"/>
        <v>35</v>
      </c>
      <c r="B39">
        <f t="shared" si="7"/>
        <v>25714</v>
      </c>
      <c r="C39" t="str">
        <f>IFERROR(INDEX(Starter!B:B,MATCH(B39,Starter!A:A,0)),"")</f>
        <v>Schulz, Carolin</v>
      </c>
      <c r="D39" t="str">
        <f>IFERROR(INDEX(Starter!C:C,MATCH(B39,Starter!A:A,0)),"")</f>
        <v>BC E.P.A. München</v>
      </c>
      <c r="E39" s="102">
        <f t="shared" si="8"/>
        <v>1176</v>
      </c>
      <c r="F39">
        <f t="shared" si="9"/>
        <v>7</v>
      </c>
      <c r="G39" s="137">
        <f t="shared" si="10"/>
        <v>167.99999993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47</v>
      </c>
    </row>
    <row r="40" spans="1:16" x14ac:dyDescent="0.25">
      <c r="A40">
        <f t="shared" si="11"/>
        <v>36</v>
      </c>
      <c r="B40">
        <f t="shared" si="7"/>
        <v>38350</v>
      </c>
      <c r="C40" t="str">
        <f>IFERROR(INDEX(Starter!B:B,MATCH(B40,Starter!A:A,0)),"")</f>
        <v>Seeger, Melanie</v>
      </c>
      <c r="D40" t="str">
        <f>IFERROR(INDEX(Starter!C:C,MATCH(B40,Starter!A:A,0)),"")</f>
        <v>BK München</v>
      </c>
      <c r="E40" s="102">
        <f t="shared" si="8"/>
        <v>1499</v>
      </c>
      <c r="F40">
        <f t="shared" si="9"/>
        <v>9</v>
      </c>
      <c r="G40" s="137">
        <f t="shared" si="10"/>
        <v>166.55555554455555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47</v>
      </c>
    </row>
    <row r="41" spans="1:16" x14ac:dyDescent="0.25">
      <c r="A41">
        <f t="shared" si="11"/>
        <v>37</v>
      </c>
      <c r="B41">
        <f t="shared" si="7"/>
        <v>25551</v>
      </c>
      <c r="C41" t="str">
        <f>IFERROR(INDEX(Starter!B:B,MATCH(B41,Starter!A:A,0)),"")</f>
        <v>Wahl, Alexandra</v>
      </c>
      <c r="D41" t="str">
        <f>IFERROR(INDEX(Starter!C:C,MATCH(B41,Starter!A:A,0)),"")</f>
        <v>BF Rot-Weiß Lichtenhof 69</v>
      </c>
      <c r="E41" s="102">
        <f t="shared" si="8"/>
        <v>1497</v>
      </c>
      <c r="F41">
        <f t="shared" si="9"/>
        <v>9</v>
      </c>
      <c r="G41" s="137">
        <f t="shared" si="10"/>
        <v>166.33333327633335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8</v>
      </c>
    </row>
    <row r="42" spans="1:16" x14ac:dyDescent="0.25">
      <c r="A42">
        <f t="shared" si="11"/>
        <v>38</v>
      </c>
      <c r="B42">
        <f t="shared" si="7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8"/>
        <v>1158</v>
      </c>
      <c r="F42">
        <f t="shared" si="9"/>
        <v>7</v>
      </c>
      <c r="G42" s="137">
        <f t="shared" si="10"/>
        <v>165.42857140257141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25347</v>
      </c>
      <c r="C43" t="str">
        <f>IFERROR(INDEX(Starter!B:B,MATCH(B43,Starter!A:A,0)),"")</f>
        <v>Schulz-Burkert, Roswitha</v>
      </c>
      <c r="D43" t="str">
        <f>IFERROR(INDEX(Starter!C:C,MATCH(B43,Starter!A:A,0)),"")</f>
        <v>BC Phönix 03 Lauf</v>
      </c>
      <c r="E43" s="102">
        <f t="shared" si="8"/>
        <v>1125</v>
      </c>
      <c r="F43">
        <f t="shared" si="9"/>
        <v>7</v>
      </c>
      <c r="G43" s="137">
        <f t="shared" si="10"/>
        <v>160.71428564128573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47</v>
      </c>
    </row>
    <row r="44" spans="1:16" x14ac:dyDescent="0.25">
      <c r="A44">
        <f t="shared" si="11"/>
        <v>40</v>
      </c>
      <c r="B44">
        <f t="shared" si="7"/>
        <v>12850</v>
      </c>
      <c r="C44" t="str">
        <f>IFERROR(INDEX(Starter!B:B,MATCH(B44,Starter!A:A,0)),"")</f>
        <v>Müller, Angelika</v>
      </c>
      <c r="D44" t="str">
        <f>IFERROR(INDEX(Starter!C:C,MATCH(B44,Starter!A:A,0)),"")</f>
        <v>BK München</v>
      </c>
      <c r="E44" s="102">
        <f t="shared" si="8"/>
        <v>788</v>
      </c>
      <c r="F44">
        <f t="shared" si="9"/>
        <v>5</v>
      </c>
      <c r="G44" s="137">
        <f t="shared" si="10"/>
        <v>157.59999998000001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14</v>
      </c>
    </row>
    <row r="45" spans="1:16" x14ac:dyDescent="0.25">
      <c r="A45">
        <f t="shared" si="11"/>
        <v>41</v>
      </c>
      <c r="B45">
        <f t="shared" si="7"/>
        <v>7576</v>
      </c>
      <c r="C45" t="str">
        <f>IFERROR(INDEX(Starter!B:B,MATCH(B45,Starter!A:A,0)),"")</f>
        <v>Laub, Angela</v>
      </c>
      <c r="D45" t="str">
        <f>IFERROR(INDEX(Starter!C:C,MATCH(B45,Starter!A:A,0)),"")</f>
        <v>BK München</v>
      </c>
      <c r="E45" s="102">
        <f t="shared" si="8"/>
        <v>628</v>
      </c>
      <c r="F45">
        <f t="shared" si="9"/>
        <v>4</v>
      </c>
      <c r="G45" s="137">
        <f t="shared" si="10"/>
        <v>156.999999981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17</v>
      </c>
    </row>
    <row r="46" spans="1:16" x14ac:dyDescent="0.25">
      <c r="A46">
        <f t="shared" si="11"/>
        <v>42</v>
      </c>
      <c r="B46">
        <f t="shared" si="7"/>
        <v>7787</v>
      </c>
      <c r="C46" t="str">
        <f>IFERROR(INDEX(Starter!B:B,MATCH(B46,Starter!A:A,0)),"")</f>
        <v>Kleim, Helga</v>
      </c>
      <c r="D46" t="str">
        <f>IFERROR(INDEX(Starter!C:C,MATCH(B46,Starter!A:A,0)),"")</f>
        <v>BC Phönix 03 Lauf</v>
      </c>
      <c r="E46" s="102">
        <f t="shared" si="8"/>
        <v>933</v>
      </c>
      <c r="F46">
        <f t="shared" si="9"/>
        <v>6</v>
      </c>
      <c r="G46" s="137">
        <f t="shared" si="10"/>
        <v>155.499999946</v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13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443</v>
      </c>
      <c r="F47">
        <f t="shared" si="9"/>
        <v>3</v>
      </c>
      <c r="G47" s="137">
        <f t="shared" si="10"/>
        <v>147.66666662466665</v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47</v>
      </c>
    </row>
    <row r="48" spans="1:16" x14ac:dyDescent="0.25">
      <c r="A48">
        <f t="shared" si="11"/>
        <v>44</v>
      </c>
      <c r="B48">
        <f t="shared" si="7"/>
        <v>38210</v>
      </c>
      <c r="C48" t="str">
        <f>IFERROR(INDEX(Starter!B:B,MATCH(B48,Starter!A:A,0)),"")</f>
        <v>Kulzer, Katharina</v>
      </c>
      <c r="D48" t="str">
        <f>IFERROR(INDEX(Starter!C:C,MATCH(B48,Starter!A:A,0)),"")</f>
        <v>BC Phönix 03 Lauf</v>
      </c>
      <c r="E48" s="102">
        <f t="shared" si="8"/>
        <v>725</v>
      </c>
      <c r="F48">
        <f t="shared" si="9"/>
        <v>5</v>
      </c>
      <c r="G48" s="137">
        <f t="shared" si="10"/>
        <v>144.999999933</v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47</v>
      </c>
    </row>
    <row r="49" spans="1:16" x14ac:dyDescent="0.25">
      <c r="A49">
        <f t="shared" si="11"/>
        <v>45</v>
      </c>
      <c r="B49">
        <f t="shared" si="7"/>
        <v>25808</v>
      </c>
      <c r="C49" t="str">
        <f>IFERROR(INDEX(Starter!B:B,MATCH(B49,Starter!A:A,0)),"")</f>
        <v>Dietrich, Ulrike</v>
      </c>
      <c r="D49" t="str">
        <f>IFERROR(INDEX(Starter!C:C,MATCH(B49,Starter!A:A,0)),"")</f>
        <v>BC Olching '07</v>
      </c>
      <c r="E49" s="102">
        <f t="shared" si="8"/>
        <v>572</v>
      </c>
      <c r="F49">
        <f t="shared" si="9"/>
        <v>4</v>
      </c>
      <c r="G49" s="137">
        <f t="shared" si="10"/>
        <v>142.99999993399999</v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47</v>
      </c>
    </row>
    <row r="50" spans="1:16" x14ac:dyDescent="0.25">
      <c r="A50">
        <f t="shared" si="11"/>
        <v>46</v>
      </c>
      <c r="B50">
        <f t="shared" si="7"/>
        <v>7991</v>
      </c>
      <c r="C50" t="str">
        <f>IFERROR(INDEX(Starter!B:B,MATCH(B50,Starter!A:A,0)),"")</f>
        <v>Strahl, Pakwipa</v>
      </c>
      <c r="D50" t="str">
        <f>IFERROR(INDEX(Starter!C:C,MATCH(B50,Starter!A:A,0)),"")</f>
        <v>BK München</v>
      </c>
      <c r="E50" s="102">
        <f t="shared" si="8"/>
        <v>983</v>
      </c>
      <c r="F50">
        <f t="shared" si="9"/>
        <v>7</v>
      </c>
      <c r="G50" s="137">
        <f t="shared" si="10"/>
        <v>140.42857140657142</v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47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32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47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47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42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37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47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16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24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47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47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572</v>
      </c>
      <c r="N66">
        <f>SUMIF(Erfassung2!BD:BD,L66,Erfassung2!BG:BG)</f>
        <v>4</v>
      </c>
      <c r="O66">
        <f t="shared" ref="O66:O104" si="12">IF(N66=0,0,M66/N66-ROW()/1000000000)</f>
        <v>142.99999993399999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44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47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3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35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47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47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47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47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47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47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47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47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47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47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47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47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47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47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47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47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47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47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47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47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47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47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47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47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47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47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47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47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47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47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47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3125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3103</v>
      </c>
      <c r="N13">
        <f>INDEX(Schnitt1!N:N,MATCH(L13,Schnitt1!L:L,0))+INDEX(Schnitt2!N:N,MATCH(L13,Schnitt2!L:L,0))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2791</v>
      </c>
      <c r="N14">
        <f>INDEX(Schnitt1!N:N,MATCH(L14,Schnitt1!L:L,0))+INDEX(Schnitt2!N:N,MATCH(L14,Schnitt2!L:L,0))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772</v>
      </c>
      <c r="N15">
        <f>INDEX(Schnitt1!N:N,MATCH(L15,Schnitt1!L:L,0))+INDEX(Schnitt2!N:N,MATCH(L15,Schnitt2!L:L,0))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INDEX(Schnitt1!M:M,MATCH(L22,Schnitt1!L:L,0))+INDEX(Schnitt2!M:M,MATCH(L22,Schnitt2!L:L,0))</f>
        <v>983</v>
      </c>
      <c r="N22">
        <f>INDEX(Schnitt1!N:N,MATCH(L22,Schnitt1!L:L,0))+INDEX(Schnitt2!N:N,MATCH(L22,Schnitt2!L:L,0))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1368</v>
      </c>
      <c r="N66">
        <f>INDEX(Schnitt1!N:N,MATCH(L66,Schnitt1!L:L,0))+INDEX(Schnitt2!N:N,MATCH(L66,Schnitt2!L:L,0))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+Spielzettel3!T2</f>
        <v>3</v>
      </c>
      <c r="F6" s="331"/>
      <c r="P6" s="140" t="s">
        <v>1838</v>
      </c>
      <c r="Q6" s="332" t="str">
        <f>+Spielzettel3!U1</f>
        <v>01.02./02.02.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+Spielzettel3!F2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+Spielzettel3!F1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 t="s">
        <v>2363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6" t="s">
        <v>2364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 t="s">
        <v>2365</v>
      </c>
      <c r="G36" s="322"/>
      <c r="H36" s="32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90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90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Schlüssel!$BA$1</f>
        <v>01.02./02.02.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Schlüssel!$AQ$2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7">
        <f>VLOOKUP(B2,Schlüssel!$A$5:$DZ$14,43)</f>
        <v>5</v>
      </c>
      <c r="E22" s="368"/>
      <c r="F22" s="367">
        <f>VLOOKUP(B2,Schlüssel!$A$5:$DZ$14,44)</f>
        <v>3</v>
      </c>
      <c r="G22" s="368"/>
      <c r="H22" s="367">
        <f>VLOOKUP(B2,Schlüssel!$A$5:$DZ$14,45)</f>
        <v>8</v>
      </c>
      <c r="I22" s="368"/>
      <c r="J22" s="367">
        <f>VLOOKUP(B2,Schlüssel!$A$5:$DZ$14,46)</f>
        <v>2</v>
      </c>
      <c r="K22" s="368"/>
      <c r="L22" s="367">
        <f>VLOOKUP(B2,Schlüssel!$A$5:$DZ$14,47)</f>
        <v>6</v>
      </c>
      <c r="M22" s="368"/>
      <c r="N22" s="367">
        <f>VLOOKUP(B2,Schlüssel!$A$5:$DZ$14,48)</f>
        <v>4</v>
      </c>
      <c r="O22" s="368"/>
      <c r="P22" s="367">
        <f>VLOOKUP(B2,Schlüssel!$A$5:$DZ$14,49)</f>
        <v>7</v>
      </c>
      <c r="Q22" s="368"/>
      <c r="R22" s="367">
        <f>VLOOKUP(B2,Schlüssel!$A$5:$DZ$14,50)</f>
        <v>9</v>
      </c>
      <c r="S22" s="368"/>
      <c r="T22" s="367">
        <f>VLOOKUP(B2,Schlüssel!$A$5:$DZ$14,51)</f>
        <v>10</v>
      </c>
      <c r="U22" s="368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 xml:space="preserve">Weiß Blau Unterföhring </v>
      </c>
      <c r="E23" s="356"/>
      <c r="F23" s="355" t="str">
        <f>VLOOKUP(F22,Schlüssel!$A$5:$K$14,2)</f>
        <v>Highroller Rosenheim</v>
      </c>
      <c r="G23" s="356"/>
      <c r="H23" s="355" t="str">
        <f>VLOOKUP(H22,Schlüssel!$A$5:$K$14,2)</f>
        <v>EPA München 1</v>
      </c>
      <c r="I23" s="356"/>
      <c r="J23" s="355" t="str">
        <f>VLOOKUP(J22,Schlüssel!$A$5:$K$14,2)</f>
        <v>BK München 2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3</v>
      </c>
      <c r="O23" s="356"/>
      <c r="P23" s="355" t="str">
        <f>VLOOKUP(P22,Schlüssel!$A$5:$K$14,2)</f>
        <v>Frankenpower Nürnberg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BK München 4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Schlüssel!$BA$1</f>
        <v>01.02./02.02.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Schlüssel!$AQ$2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7">
        <f>VLOOKUP(B31,Schlüssel!$A$5:$DZ$14,43)</f>
        <v>8</v>
      </c>
      <c r="E51" s="368"/>
      <c r="F51" s="367">
        <f>VLOOKUP(B31,Schlüssel!$A$5:$DZ$14,44)</f>
        <v>10</v>
      </c>
      <c r="G51" s="368"/>
      <c r="H51" s="367">
        <f>VLOOKUP(B31,Schlüssel!$A$5:$DZ$14,45)</f>
        <v>3</v>
      </c>
      <c r="I51" s="368"/>
      <c r="J51" s="367">
        <f>VLOOKUP(B31,Schlüssel!$A$5:$DZ$14,46)</f>
        <v>1</v>
      </c>
      <c r="K51" s="368"/>
      <c r="L51" s="367">
        <f>VLOOKUP(B31,Schlüssel!$A$5:$DZ$14,47)</f>
        <v>7</v>
      </c>
      <c r="M51" s="368"/>
      <c r="N51" s="367">
        <f>VLOOKUP(B31,Schlüssel!$A$5:$DZ$14,48)</f>
        <v>6</v>
      </c>
      <c r="O51" s="368"/>
      <c r="P51" s="367">
        <f>VLOOKUP(B31,Schlüssel!$A$5:$DZ$14,49)</f>
        <v>9</v>
      </c>
      <c r="Q51" s="368"/>
      <c r="R51" s="367">
        <f>VLOOKUP(B31,Schlüssel!$A$5:$DZ$14,50)</f>
        <v>5</v>
      </c>
      <c r="S51" s="368"/>
      <c r="T51" s="367">
        <f>VLOOKUP(B31,Schlüssel!$A$5:$DZ$14,51)</f>
        <v>4</v>
      </c>
      <c r="U51" s="368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EPA München 1</v>
      </c>
      <c r="E52" s="356"/>
      <c r="F52" s="355" t="str">
        <f>VLOOKUP(F51,Schlüssel!$A$5:$K$14,2)</f>
        <v>BK München 4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Praetoria Regensburg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Phönix 03 Lauf</v>
      </c>
      <c r="O52" s="356"/>
      <c r="P52" s="355" t="str">
        <f>VLOOKUP(P51,Schlüssel!$A$5:$K$14,2)</f>
        <v>RW Lichtenhof 69 Stein 2</v>
      </c>
      <c r="Q52" s="356"/>
      <c r="R52" s="355" t="str">
        <f>VLOOKUP(R51,Schlüssel!$A$5:$K$14,2)</f>
        <v xml:space="preserve">Weiß Blau Unterföhring </v>
      </c>
      <c r="S52" s="356"/>
      <c r="T52" s="355" t="str">
        <f>VLOOKUP(T51,Schlüssel!$A$5:$K$14,2)</f>
        <v>BK München 3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Schlüssel!$BA$1</f>
        <v>01.02./02.02.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Schlüssel!$AQ$2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7">
        <f>VLOOKUP(B60,Schlüssel!$A$5:$DZ$14,43)</f>
        <v>10</v>
      </c>
      <c r="E80" s="368"/>
      <c r="F80" s="367">
        <f>VLOOKUP(B60,Schlüssel!$A$5:$DZ$14,44)</f>
        <v>1</v>
      </c>
      <c r="G80" s="368"/>
      <c r="H80" s="367">
        <f>VLOOKUP(B60,Schlüssel!$A$5:$DZ$14,45)</f>
        <v>2</v>
      </c>
      <c r="I80" s="368"/>
      <c r="J80" s="367">
        <f>VLOOKUP(B60,Schlüssel!$A$5:$DZ$14,46)</f>
        <v>6</v>
      </c>
      <c r="K80" s="368"/>
      <c r="L80" s="367">
        <f>VLOOKUP(B60,Schlüssel!$A$5:$DZ$14,47)</f>
        <v>9</v>
      </c>
      <c r="M80" s="368"/>
      <c r="N80" s="367">
        <f>VLOOKUP(B60,Schlüssel!$A$5:$DZ$14,48)</f>
        <v>7</v>
      </c>
      <c r="O80" s="368"/>
      <c r="P80" s="367">
        <f>VLOOKUP(B60,Schlüssel!$A$5:$DZ$14,49)</f>
        <v>5</v>
      </c>
      <c r="Q80" s="368"/>
      <c r="R80" s="367">
        <f>VLOOKUP(B60,Schlüssel!$A$5:$DZ$14,50)</f>
        <v>4</v>
      </c>
      <c r="S80" s="368"/>
      <c r="T80" s="367">
        <f>VLOOKUP(B60,Schlüssel!$A$5:$DZ$14,51)</f>
        <v>8</v>
      </c>
      <c r="U80" s="368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4</v>
      </c>
      <c r="E81" s="356"/>
      <c r="F81" s="355" t="str">
        <f>VLOOKUP(F80,Schlüssel!$A$5:$K$14,2)</f>
        <v>Praetoria Regensburg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Frankenpower Nürnberg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EPA München 1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Schlüssel!$BA$1</f>
        <v>01.02./02.02.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Schlüssel!$AQ$2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7">
        <f>VLOOKUP(B89,Schlüssel!$A$5:$DZ$14,43)</f>
        <v>6</v>
      </c>
      <c r="E109" s="368"/>
      <c r="F109" s="367">
        <f>VLOOKUP(B89,Schlüssel!$A$5:$DZ$14,44)</f>
        <v>5</v>
      </c>
      <c r="G109" s="368"/>
      <c r="H109" s="367">
        <f>VLOOKUP(B89,Schlüssel!$A$5:$DZ$14,45)</f>
        <v>9</v>
      </c>
      <c r="I109" s="368"/>
      <c r="J109" s="367">
        <f>VLOOKUP(B89,Schlüssel!$A$5:$DZ$14,46)</f>
        <v>7</v>
      </c>
      <c r="K109" s="368"/>
      <c r="L109" s="367">
        <f>VLOOKUP(B89,Schlüssel!$A$5:$DZ$14,47)</f>
        <v>8</v>
      </c>
      <c r="M109" s="368"/>
      <c r="N109" s="367">
        <f>VLOOKUP(B89,Schlüssel!$A$5:$DZ$14,48)</f>
        <v>1</v>
      </c>
      <c r="O109" s="368"/>
      <c r="P109" s="367">
        <f>VLOOKUP(B89,Schlüssel!$A$5:$DZ$14,49)</f>
        <v>10</v>
      </c>
      <c r="Q109" s="368"/>
      <c r="R109" s="367">
        <f>VLOOKUP(B89,Schlüssel!$A$5:$DZ$14,50)</f>
        <v>3</v>
      </c>
      <c r="S109" s="368"/>
      <c r="T109" s="367">
        <f>VLOOKUP(B89,Schlüssel!$A$5:$DZ$14,51)</f>
        <v>2</v>
      </c>
      <c r="U109" s="368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Phönix 03 Lauf</v>
      </c>
      <c r="E110" s="356"/>
      <c r="F110" s="355" t="str">
        <f>VLOOKUP(F109,Schlüssel!$A$5:$K$14,2)</f>
        <v xml:space="preserve">Weiß Blau Unterföhring 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Praetoria Regensburg</v>
      </c>
      <c r="O110" s="356"/>
      <c r="P110" s="355" t="str">
        <f>VLOOKUP(P109,Schlüssel!$A$5:$K$14,2)</f>
        <v>BK München 4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>BK München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Schlüssel!$BA$1</f>
        <v>01.02./02.02.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Schlüssel!$AQ$2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7">
        <f>VLOOKUP(B118,Schlüssel!$A$5:$DZ$14,43)</f>
        <v>1</v>
      </c>
      <c r="E138" s="368"/>
      <c r="F138" s="367">
        <f>VLOOKUP(B118,Schlüssel!$A$5:$DZ$14,44)</f>
        <v>4</v>
      </c>
      <c r="G138" s="368"/>
      <c r="H138" s="367">
        <f>VLOOKUP(B118,Schlüssel!$A$5:$DZ$14,45)</f>
        <v>6</v>
      </c>
      <c r="I138" s="368"/>
      <c r="J138" s="367">
        <f>VLOOKUP(B118,Schlüssel!$A$5:$DZ$14,46)</f>
        <v>9</v>
      </c>
      <c r="K138" s="368"/>
      <c r="L138" s="367">
        <f>VLOOKUP(B118,Schlüssel!$A$5:$DZ$14,47)</f>
        <v>10</v>
      </c>
      <c r="M138" s="368"/>
      <c r="N138" s="367">
        <f>VLOOKUP(B118,Schlüssel!$A$5:$DZ$14,48)</f>
        <v>8</v>
      </c>
      <c r="O138" s="368"/>
      <c r="P138" s="367">
        <f>VLOOKUP(B118,Schlüssel!$A$5:$DZ$14,49)</f>
        <v>3</v>
      </c>
      <c r="Q138" s="368"/>
      <c r="R138" s="367">
        <f>VLOOKUP(B118,Schlüssel!$A$5:$DZ$14,50)</f>
        <v>2</v>
      </c>
      <c r="S138" s="368"/>
      <c r="T138" s="367">
        <f>VLOOKUP(B118,Schlüssel!$A$5:$DZ$14,51)</f>
        <v>7</v>
      </c>
      <c r="U138" s="368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Praetoria Regensburg</v>
      </c>
      <c r="E139" s="356"/>
      <c r="F139" s="355" t="str">
        <f>VLOOKUP(F138,Schlüssel!$A$5:$K$14,2)</f>
        <v>BK München 3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RW Lichtenhof 69 Stein 2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BK München 2</v>
      </c>
      <c r="S139" s="356"/>
      <c r="T139" s="355" t="str">
        <f>VLOOKUP(T138,Schlüssel!$A$5:$K$14,2)</f>
        <v>Frankenpower Nürnberg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Schlüssel!$BA$1</f>
        <v>01.02./02.02.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Schlüssel!$AQ$2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7">
        <f>VLOOKUP(B147,Schlüssel!$A$5:$DZ$14,43)</f>
        <v>4</v>
      </c>
      <c r="E167" s="368"/>
      <c r="F167" s="367">
        <f>VLOOKUP(B147,Schlüssel!$A$5:$DZ$14,44)</f>
        <v>7</v>
      </c>
      <c r="G167" s="368"/>
      <c r="H167" s="367">
        <f>VLOOKUP(B147,Schlüssel!$A$5:$DZ$14,45)</f>
        <v>5</v>
      </c>
      <c r="I167" s="368"/>
      <c r="J167" s="367">
        <f>VLOOKUP(B147,Schlüssel!$A$5:$DZ$14,46)</f>
        <v>3</v>
      </c>
      <c r="K167" s="368"/>
      <c r="L167" s="367">
        <f>VLOOKUP(B147,Schlüssel!$A$5:$DZ$14,47)</f>
        <v>1</v>
      </c>
      <c r="M167" s="368"/>
      <c r="N167" s="367">
        <f>VLOOKUP(B147,Schlüssel!$A$5:$DZ$14,48)</f>
        <v>2</v>
      </c>
      <c r="O167" s="368"/>
      <c r="P167" s="367">
        <f>VLOOKUP(B147,Schlüssel!$A$5:$DZ$14,49)</f>
        <v>8</v>
      </c>
      <c r="Q167" s="368"/>
      <c r="R167" s="367">
        <f>VLOOKUP(B147,Schlüssel!$A$5:$DZ$14,50)</f>
        <v>10</v>
      </c>
      <c r="S167" s="368"/>
      <c r="T167" s="367">
        <f>VLOOKUP(B147,Schlüssel!$A$5:$DZ$14,51)</f>
        <v>9</v>
      </c>
      <c r="U167" s="368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3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BK München 2</v>
      </c>
      <c r="O168" s="356"/>
      <c r="P168" s="355" t="str">
        <f>VLOOKUP(P167,Schlüssel!$A$5:$K$14,2)</f>
        <v>EPA München 1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RW Lichtenhof 69 Stein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Schlüssel!$BA$1</f>
        <v>01.02./02.02.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Schlüssel!$AQ$2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7">
        <f>VLOOKUP(B176,Schlüssel!$A$5:$DZ$14,43)</f>
        <v>9</v>
      </c>
      <c r="E196" s="368"/>
      <c r="F196" s="367">
        <f>VLOOKUP(B176,Schlüssel!$A$5:$DZ$14,44)</f>
        <v>6</v>
      </c>
      <c r="G196" s="368"/>
      <c r="H196" s="367">
        <f>VLOOKUP(B176,Schlüssel!$A$5:$DZ$14,45)</f>
        <v>10</v>
      </c>
      <c r="I196" s="368"/>
      <c r="J196" s="367">
        <f>VLOOKUP(B176,Schlüssel!$A$5:$DZ$14,46)</f>
        <v>4</v>
      </c>
      <c r="K196" s="368"/>
      <c r="L196" s="367">
        <f>VLOOKUP(B176,Schlüssel!$A$5:$DZ$14,47)</f>
        <v>2</v>
      </c>
      <c r="M196" s="368"/>
      <c r="N196" s="367">
        <f>VLOOKUP(B176,Schlüssel!$A$5:$DZ$14,48)</f>
        <v>3</v>
      </c>
      <c r="O196" s="368"/>
      <c r="P196" s="367">
        <f>VLOOKUP(B176,Schlüssel!$A$5:$DZ$14,49)</f>
        <v>1</v>
      </c>
      <c r="Q196" s="368"/>
      <c r="R196" s="367">
        <f>VLOOKUP(B176,Schlüssel!$A$5:$DZ$14,50)</f>
        <v>8</v>
      </c>
      <c r="S196" s="368"/>
      <c r="T196" s="367">
        <f>VLOOKUP(B176,Schlüssel!$A$5:$DZ$14,51)</f>
        <v>5</v>
      </c>
      <c r="U196" s="368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RW Lichtenhof 69 Stein 2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Highroller Rosenheim</v>
      </c>
      <c r="O197" s="356"/>
      <c r="P197" s="355" t="str">
        <f>VLOOKUP(P196,Schlüssel!$A$5:$K$14,2)</f>
        <v>Praetoria Regensburg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 xml:space="preserve">Weiß Blau Unterföhring 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Schlüssel!$BA$1</f>
        <v>01.02./02.02.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Schlüssel!$AQ$2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7">
        <f>VLOOKUP(B205,Schlüssel!$A$5:$DZ$14,43)</f>
        <v>2</v>
      </c>
      <c r="E225" s="368"/>
      <c r="F225" s="367">
        <f>VLOOKUP(B205,Schlüssel!$A$5:$DZ$14,44)</f>
        <v>9</v>
      </c>
      <c r="G225" s="368"/>
      <c r="H225" s="367">
        <f>VLOOKUP(B205,Schlüssel!$A$5:$DZ$14,45)</f>
        <v>1</v>
      </c>
      <c r="I225" s="368"/>
      <c r="J225" s="367">
        <f>VLOOKUP(B205,Schlüssel!$A$5:$DZ$14,46)</f>
        <v>10</v>
      </c>
      <c r="K225" s="368"/>
      <c r="L225" s="367">
        <f>VLOOKUP(B205,Schlüssel!$A$5:$DZ$14,47)</f>
        <v>4</v>
      </c>
      <c r="M225" s="368"/>
      <c r="N225" s="367">
        <f>VLOOKUP(B205,Schlüssel!$A$5:$DZ$14,48)</f>
        <v>5</v>
      </c>
      <c r="O225" s="368"/>
      <c r="P225" s="367">
        <f>VLOOKUP(B205,Schlüssel!$A$5:$DZ$14,49)</f>
        <v>6</v>
      </c>
      <c r="Q225" s="368"/>
      <c r="R225" s="367">
        <f>VLOOKUP(B205,Schlüssel!$A$5:$DZ$14,50)</f>
        <v>7</v>
      </c>
      <c r="S225" s="368"/>
      <c r="T225" s="367">
        <f>VLOOKUP(B205,Schlüssel!$A$5:$DZ$14,51)</f>
        <v>3</v>
      </c>
      <c r="U225" s="368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2</v>
      </c>
      <c r="E226" s="356"/>
      <c r="F226" s="355" t="str">
        <f>VLOOKUP(F225,Schlüssel!$A$5:$K$14,2)</f>
        <v>RW Lichtenhof 69 Stein 2</v>
      </c>
      <c r="G226" s="356"/>
      <c r="H226" s="355" t="str">
        <f>VLOOKUP(H225,Schlüssel!$A$5:$K$14,2)</f>
        <v>Praetoria Regensburg</v>
      </c>
      <c r="I226" s="356"/>
      <c r="J226" s="355" t="str">
        <f>VLOOKUP(J225,Schlüssel!$A$5:$K$14,2)</f>
        <v>BK München 4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Phönix 03 Lauf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Highroller Rosenheim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Schlüssel!$BA$1</f>
        <v>01.02./02.02.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Schlüssel!$AQ$2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7">
        <f>VLOOKUP(B234,Schlüssel!$A$5:$DZ$14,43)</f>
        <v>7</v>
      </c>
      <c r="E254" s="368"/>
      <c r="F254" s="367">
        <f>VLOOKUP(B234,Schlüssel!$A$5:$DZ$14,44)</f>
        <v>8</v>
      </c>
      <c r="G254" s="368"/>
      <c r="H254" s="367">
        <f>VLOOKUP(B234,Schlüssel!$A$5:$DZ$14,45)</f>
        <v>4</v>
      </c>
      <c r="I254" s="368"/>
      <c r="J254" s="367">
        <f>VLOOKUP(B234,Schlüssel!$A$5:$DZ$14,46)</f>
        <v>5</v>
      </c>
      <c r="K254" s="368"/>
      <c r="L254" s="367">
        <f>VLOOKUP(B234,Schlüssel!$A$5:$DZ$14,47)</f>
        <v>3</v>
      </c>
      <c r="M254" s="368"/>
      <c r="N254" s="367">
        <f>VLOOKUP(B234,Schlüssel!$A$5:$DZ$14,48)</f>
        <v>10</v>
      </c>
      <c r="O254" s="368"/>
      <c r="P254" s="367">
        <f>VLOOKUP(B234,Schlüssel!$A$5:$DZ$14,49)</f>
        <v>2</v>
      </c>
      <c r="Q254" s="368"/>
      <c r="R254" s="367">
        <f>VLOOKUP(B234,Schlüssel!$A$5:$DZ$14,50)</f>
        <v>1</v>
      </c>
      <c r="S254" s="368"/>
      <c r="T254" s="367">
        <f>VLOOKUP(B234,Schlüssel!$A$5:$DZ$14,51)</f>
        <v>6</v>
      </c>
      <c r="U254" s="368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Frankenpower Nürnberg</v>
      </c>
      <c r="E255" s="356"/>
      <c r="F255" s="355" t="str">
        <f>VLOOKUP(F254,Schlüssel!$A$5:$K$14,2)</f>
        <v>EPA München 1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 xml:space="preserve">Weiß Blau Unterföhring 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BK München 2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>Phönix 03 Lauf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Schlüssel!$BA$1</f>
        <v>01.02./02.02.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Schlüssel!$AQ$2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7">
        <f>VLOOKUP(B263,Schlüssel!$A$5:$DZ$14,43)</f>
        <v>3</v>
      </c>
      <c r="E283" s="368"/>
      <c r="F283" s="367">
        <f>VLOOKUP(B263,Schlüssel!$A$5:$DZ$14,44)</f>
        <v>2</v>
      </c>
      <c r="G283" s="368"/>
      <c r="H283" s="367">
        <f>VLOOKUP(B263,Schlüssel!$A$5:$DZ$14,45)</f>
        <v>7</v>
      </c>
      <c r="I283" s="368"/>
      <c r="J283" s="367">
        <f>VLOOKUP(B263,Schlüssel!$A$5:$DZ$14,46)</f>
        <v>8</v>
      </c>
      <c r="K283" s="368"/>
      <c r="L283" s="367">
        <f>VLOOKUP(B263,Schlüssel!$A$5:$DZ$14,47)</f>
        <v>5</v>
      </c>
      <c r="M283" s="368"/>
      <c r="N283" s="367">
        <f>VLOOKUP(B263,Schlüssel!$A$5:$DZ$14,48)</f>
        <v>9</v>
      </c>
      <c r="O283" s="368"/>
      <c r="P283" s="367">
        <f>VLOOKUP(B263,Schlüssel!$A$5:$DZ$14,49)</f>
        <v>4</v>
      </c>
      <c r="Q283" s="368"/>
      <c r="R283" s="367">
        <f>VLOOKUP(B263,Schlüssel!$A$5:$DZ$14,50)</f>
        <v>6</v>
      </c>
      <c r="S283" s="368"/>
      <c r="T283" s="367">
        <f>VLOOKUP(B263,Schlüssel!$A$5:$DZ$14,51)</f>
        <v>1</v>
      </c>
      <c r="U283" s="368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Highroller Rosenheim</v>
      </c>
      <c r="E284" s="356"/>
      <c r="F284" s="355" t="str">
        <f>VLOOKUP(F283,Schlüssel!$A$5:$K$14,2)</f>
        <v>BK München 2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EPA München 1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3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Praetoria Regensburg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tabSelected="1"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01.02./02.02.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01.02./02.02.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5</v>
      </c>
      <c r="E22" s="353" t="str">
        <f t="shared" si="31"/>
        <v/>
      </c>
      <c r="F22" s="353">
        <f t="shared" si="31"/>
        <v>3</v>
      </c>
      <c r="G22" s="353" t="str">
        <f t="shared" si="31"/>
        <v/>
      </c>
      <c r="H22" s="353">
        <f t="shared" si="31"/>
        <v>8</v>
      </c>
      <c r="I22" s="353" t="str">
        <f t="shared" si="31"/>
        <v/>
      </c>
      <c r="J22" s="353">
        <f t="shared" si="31"/>
        <v>2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4</v>
      </c>
      <c r="O22" s="353" t="str">
        <f t="shared" si="31"/>
        <v/>
      </c>
      <c r="P22" s="353">
        <f t="shared" si="31"/>
        <v>7</v>
      </c>
      <c r="Q22" s="353" t="str">
        <f t="shared" si="31"/>
        <v/>
      </c>
      <c r="R22" s="353">
        <f t="shared" ref="L22:U24" si="32">IF(AQ22=0,"",AQ22)</f>
        <v>9</v>
      </c>
      <c r="S22" s="353" t="str">
        <f t="shared" si="32"/>
        <v/>
      </c>
      <c r="T22" s="353">
        <f t="shared" si="32"/>
        <v>10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VLOOKUP($AA2,Schlüssel!$A$5:$DG$14,43)</f>
        <v>5</v>
      </c>
      <c r="AD22" s="368"/>
      <c r="AE22" s="367">
        <f>VLOOKUP($AA2,Schlüssel!$A$5:$EK$14,44)</f>
        <v>3</v>
      </c>
      <c r="AF22" s="368"/>
      <c r="AG22" s="367">
        <f>VLOOKUP($AA2,Schlüssel!$A$5:$EK$14,45)</f>
        <v>8</v>
      </c>
      <c r="AH22" s="368"/>
      <c r="AI22" s="367">
        <f>VLOOKUP($AA2,Schlüssel!$A$5:$EK$14,46)</f>
        <v>2</v>
      </c>
      <c r="AJ22" s="368"/>
      <c r="AK22" s="367">
        <f>VLOOKUP($AA2,Schlüssel!$A$5:$EK$14,47)</f>
        <v>6</v>
      </c>
      <c r="AL22" s="368"/>
      <c r="AM22" s="367">
        <f>VLOOKUP($AA2,Schlüssel!$A$5:$EK$14,48)</f>
        <v>4</v>
      </c>
      <c r="AN22" s="368"/>
      <c r="AO22" s="367">
        <f>VLOOKUP($AA2,Schlüssel!$A$5:$EK$14,49)</f>
        <v>7</v>
      </c>
      <c r="AP22" s="368"/>
      <c r="AQ22" s="367">
        <f>VLOOKUP($AA2,Schlüssel!$A$5:$EK$14,50)</f>
        <v>9</v>
      </c>
      <c r="AR22" s="368"/>
      <c r="AS22" s="367">
        <f>VLOOKUP($AA2,Schlüssel!$A$5:$EK$14,51)</f>
        <v>10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 xml:space="preserve">Weiß Blau Unterföhring </v>
      </c>
      <c r="E23" s="356" t="str">
        <f t="shared" si="33"/>
        <v/>
      </c>
      <c r="F23" s="355" t="str">
        <f t="shared" si="33"/>
        <v>Highroller Rosenheim</v>
      </c>
      <c r="G23" s="356" t="str">
        <f t="shared" si="33"/>
        <v/>
      </c>
      <c r="H23" s="355" t="str">
        <f t="shared" si="33"/>
        <v>EPA München 1</v>
      </c>
      <c r="I23" s="356" t="str">
        <f t="shared" si="33"/>
        <v/>
      </c>
      <c r="J23" s="355" t="str">
        <f t="shared" si="33"/>
        <v>BK München 2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3</v>
      </c>
      <c r="O23" s="356" t="str">
        <f t="shared" si="32"/>
        <v/>
      </c>
      <c r="P23" s="355" t="str">
        <f t="shared" si="32"/>
        <v>Frankenpower Nürnberg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BK München 4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 xml:space="preserve">Weiß Blau Unterföhring </v>
      </c>
      <c r="AD23" s="356"/>
      <c r="AE23" s="355" t="str">
        <f>VLOOKUP(AE22,Schlüssel!$A$5:$K$14,2)</f>
        <v>Highroller Rosenheim</v>
      </c>
      <c r="AF23" s="356"/>
      <c r="AG23" s="355" t="str">
        <f>VLOOKUP(AG22,Schlüssel!$A$5:$K$14,2)</f>
        <v>EPA München 1</v>
      </c>
      <c r="AH23" s="356"/>
      <c r="AI23" s="355" t="str">
        <f>VLOOKUP(AI22,Schlüssel!$A$5:$K$14,2)</f>
        <v>BK München 2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3</v>
      </c>
      <c r="AN23" s="356"/>
      <c r="AO23" s="355" t="str">
        <f>VLOOKUP(AO22,Schlüssel!$A$5:$K$14,2)</f>
        <v>Frankenpower Nürnberg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BK München 4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01.02./02.02.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01.02./02.02.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5">IF(AE37=0,"",AE37)</f>
        <v/>
      </c>
      <c r="G37" s="345">
        <f>IF(AF37="","",AF37)</f>
        <v>0</v>
      </c>
      <c r="H37" s="75" t="str">
        <f t="shared" ref="H37:H50" si="36">IF(AG37=0,"",AG37)</f>
        <v/>
      </c>
      <c r="I37" s="345">
        <f>IF(AH37="","",AH37)</f>
        <v>0</v>
      </c>
      <c r="J37" s="75" t="str">
        <f t="shared" ref="J37:J50" si="37">IF(AI37=0,"",AI37)</f>
        <v/>
      </c>
      <c r="K37" s="345">
        <f>IF(AJ37="","",AJ37)</f>
        <v>0</v>
      </c>
      <c r="L37" s="75" t="str">
        <f t="shared" ref="L37:L50" si="38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9">IF(AO37=0,"",AO37)</f>
        <v/>
      </c>
      <c r="Q37" s="345">
        <f>IF(AP37="","",AP37)</f>
        <v>0</v>
      </c>
      <c r="R37" s="75" t="str">
        <f t="shared" ref="R37:R50" si="40">IF(AQ37=0,"",AQ37)</f>
        <v/>
      </c>
      <c r="S37" s="345">
        <f>IF(AR37="","",AR37)</f>
        <v>0</v>
      </c>
      <c r="T37" s="75" t="str">
        <f t="shared" ref="T37:T50" si="41">IF(AS37=0,"",AS37)</f>
        <v/>
      </c>
      <c r="U37" s="345">
        <f>IF(AT37="","",AT37)</f>
        <v>0</v>
      </c>
      <c r="V37" s="75" t="str">
        <f t="shared" ref="V37:V50" si="42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BK München 2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BK München 2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73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5">
        <f>IF(AD40="","",AD40)</f>
        <v>0</v>
      </c>
      <c r="F40" s="75" t="str">
        <f t="shared" si="35"/>
        <v/>
      </c>
      <c r="G40" s="345">
        <f>IF(AF40="","",AF40)</f>
        <v>0</v>
      </c>
      <c r="H40" s="75" t="str">
        <f t="shared" si="36"/>
        <v/>
      </c>
      <c r="I40" s="345">
        <f>IF(AH40="","",AH40)</f>
        <v>0</v>
      </c>
      <c r="J40" s="75" t="str">
        <f t="shared" si="37"/>
        <v/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0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0</v>
      </c>
      <c r="V40" s="75" t="str">
        <f t="shared" si="42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BK München 2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74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5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BK München 2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BK München 2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73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5">
        <f>IF(AD43="","",AD43)</f>
        <v>0</v>
      </c>
      <c r="F43" s="75" t="str">
        <f t="shared" si="35"/>
        <v/>
      </c>
      <c r="G43" s="345">
        <f>IF(AF43="","",AF43)</f>
        <v>0</v>
      </c>
      <c r="H43" s="75" t="str">
        <f t="shared" si="36"/>
        <v/>
      </c>
      <c r="I43" s="345">
        <f>IF(AH43="","",AH43)</f>
        <v>0</v>
      </c>
      <c r="J43" s="75" t="str">
        <f t="shared" si="37"/>
        <v/>
      </c>
      <c r="K43" s="345">
        <f>IF(AJ43="","",AJ43)</f>
        <v>0</v>
      </c>
      <c r="L43" s="75" t="str">
        <f t="shared" si="38"/>
        <v/>
      </c>
      <c r="M43" s="345">
        <f>IF(AL43="","",AL43)</f>
        <v>0</v>
      </c>
      <c r="N43" s="75" t="str">
        <f t="shared" si="55"/>
        <v/>
      </c>
      <c r="O43" s="345">
        <f>IF(AN43="","",AN43)</f>
        <v>0</v>
      </c>
      <c r="P43" s="75" t="str">
        <f t="shared" si="39"/>
        <v/>
      </c>
      <c r="Q43" s="345">
        <f>IF(AP43="","",AP43)</f>
        <v>0</v>
      </c>
      <c r="R43" s="75" t="str">
        <f t="shared" si="40"/>
        <v/>
      </c>
      <c r="S43" s="345">
        <f>IF(AR43="","",AR43)</f>
        <v>0</v>
      </c>
      <c r="T43" s="75" t="str">
        <f t="shared" si="41"/>
        <v/>
      </c>
      <c r="U43" s="345">
        <f>IF(AT43="","",AT43)</f>
        <v>0</v>
      </c>
      <c r="V43" s="75" t="str">
        <f t="shared" si="42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BK München 2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BK München 2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BK München 2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73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5">
        <f>IF(AD46="","",AD46)</f>
        <v>0</v>
      </c>
      <c r="F46" s="75" t="str">
        <f t="shared" si="35"/>
        <v/>
      </c>
      <c r="G46" s="345">
        <f>IF(AF46="","",AF46)</f>
        <v>0</v>
      </c>
      <c r="H46" s="75" t="str">
        <f t="shared" si="36"/>
        <v/>
      </c>
      <c r="I46" s="345">
        <f>IF(AH46="","",AH46)</f>
        <v>0</v>
      </c>
      <c r="J46" s="75" t="str">
        <f t="shared" si="37"/>
        <v/>
      </c>
      <c r="K46" s="345">
        <f>IF(AJ46="","",AJ46)</f>
        <v>0</v>
      </c>
      <c r="L46" s="75" t="str">
        <f t="shared" si="38"/>
        <v/>
      </c>
      <c r="M46" s="345">
        <f>IF(AL46="","",AL46)</f>
        <v>0</v>
      </c>
      <c r="N46" s="75" t="str">
        <f t="shared" si="55"/>
        <v/>
      </c>
      <c r="O46" s="345">
        <f>IF(AN46="","",AN46)</f>
        <v>0</v>
      </c>
      <c r="P46" s="75" t="str">
        <f t="shared" si="39"/>
        <v/>
      </c>
      <c r="Q46" s="345">
        <f>IF(AP46="","",AP46)</f>
        <v>0</v>
      </c>
      <c r="R46" s="75" t="str">
        <f t="shared" si="40"/>
        <v/>
      </c>
      <c r="S46" s="345">
        <f>IF(AR46="","",AR46)</f>
        <v>0</v>
      </c>
      <c r="T46" s="75" t="str">
        <f t="shared" si="41"/>
        <v/>
      </c>
      <c r="U46" s="345">
        <f>IF(AT46="","",AT46)</f>
        <v>0</v>
      </c>
      <c r="V46" s="75" t="str">
        <f t="shared" si="42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BK München 2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BK München 2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BK München 2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8</v>
      </c>
      <c r="E52" s="353" t="str">
        <f t="shared" si="66"/>
        <v/>
      </c>
      <c r="F52" s="353">
        <f t="shared" si="66"/>
        <v>10</v>
      </c>
      <c r="G52" s="353" t="str">
        <f t="shared" si="66"/>
        <v/>
      </c>
      <c r="H52" s="353">
        <f t="shared" si="66"/>
        <v>3</v>
      </c>
      <c r="I52" s="353" t="str">
        <f t="shared" si="66"/>
        <v/>
      </c>
      <c r="J52" s="353">
        <f t="shared" si="66"/>
        <v>1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6</v>
      </c>
      <c r="O52" s="353" t="str">
        <f t="shared" si="67"/>
        <v/>
      </c>
      <c r="P52" s="353">
        <f t="shared" si="67"/>
        <v>9</v>
      </c>
      <c r="Q52" s="353" t="str">
        <f t="shared" si="67"/>
        <v/>
      </c>
      <c r="R52" s="353">
        <f t="shared" si="67"/>
        <v>5</v>
      </c>
      <c r="S52" s="353" t="str">
        <f t="shared" si="67"/>
        <v/>
      </c>
      <c r="T52" s="353">
        <f t="shared" si="67"/>
        <v>4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VLOOKUP($AA32,Schlüssel!$A$5:$DG$14,43)</f>
        <v>8</v>
      </c>
      <c r="AD52" s="368"/>
      <c r="AE52" s="367">
        <f>VLOOKUP($AA32,Schlüssel!$A$5:$EK$14,44)</f>
        <v>10</v>
      </c>
      <c r="AF52" s="368"/>
      <c r="AG52" s="367">
        <f>VLOOKUP($AA32,Schlüssel!$A$5:$EK$14,45)</f>
        <v>3</v>
      </c>
      <c r="AH52" s="368"/>
      <c r="AI52" s="367">
        <f>VLOOKUP($AA32,Schlüssel!$A$5:$EK$14,46)</f>
        <v>1</v>
      </c>
      <c r="AJ52" s="368"/>
      <c r="AK52" s="367">
        <f>VLOOKUP($AA32,Schlüssel!$A$5:$EK$14,47)</f>
        <v>7</v>
      </c>
      <c r="AL52" s="368"/>
      <c r="AM52" s="367">
        <f>VLOOKUP($AA32,Schlüssel!$A$5:$EK$14,48)</f>
        <v>6</v>
      </c>
      <c r="AN52" s="368"/>
      <c r="AO52" s="367">
        <f>VLOOKUP($AA32,Schlüssel!$A$5:$EK$14,49)</f>
        <v>9</v>
      </c>
      <c r="AP52" s="368"/>
      <c r="AQ52" s="367">
        <f>VLOOKUP($AA32,Schlüssel!$A$5:$EK$14,50)</f>
        <v>5</v>
      </c>
      <c r="AR52" s="368"/>
      <c r="AS52" s="367">
        <f>VLOOKUP($AA32,Schlüssel!$A$5:$EK$14,51)</f>
        <v>4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EPA München 1</v>
      </c>
      <c r="E53" s="356" t="str">
        <f t="shared" si="66"/>
        <v/>
      </c>
      <c r="F53" s="355" t="str">
        <f t="shared" si="66"/>
        <v>BK München 4</v>
      </c>
      <c r="G53" s="356" t="str">
        <f t="shared" si="66"/>
        <v/>
      </c>
      <c r="H53" s="355" t="str">
        <f t="shared" si="66"/>
        <v>Highroller Rosenheim</v>
      </c>
      <c r="I53" s="356" t="str">
        <f t="shared" si="66"/>
        <v/>
      </c>
      <c r="J53" s="355" t="str">
        <f t="shared" si="66"/>
        <v>Praetoria Regensburg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Phönix 03 Lauf</v>
      </c>
      <c r="O53" s="356" t="str">
        <f t="shared" si="67"/>
        <v/>
      </c>
      <c r="P53" s="355" t="str">
        <f t="shared" si="67"/>
        <v>RW Lichtenhof 69 Stein 2</v>
      </c>
      <c r="Q53" s="356" t="str">
        <f t="shared" si="67"/>
        <v/>
      </c>
      <c r="R53" s="355" t="str">
        <f t="shared" si="67"/>
        <v xml:space="preserve">Weiß Blau Unterföhring </v>
      </c>
      <c r="S53" s="356" t="str">
        <f t="shared" si="67"/>
        <v/>
      </c>
      <c r="T53" s="355" t="str">
        <f t="shared" si="67"/>
        <v>BK München 3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EPA München 1</v>
      </c>
      <c r="AD53" s="356"/>
      <c r="AE53" s="355" t="str">
        <f>VLOOKUP(AE52,Schlüssel!$A$5:$K$14,2)</f>
        <v>BK München 4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Praetoria Regensburg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Phönix 03 Lauf</v>
      </c>
      <c r="AN53" s="356"/>
      <c r="AO53" s="355" t="str">
        <f>VLOOKUP(AO52,Schlüssel!$A$5:$K$14,2)</f>
        <v>RW Lichtenhof 69 Stein 2</v>
      </c>
      <c r="AP53" s="356"/>
      <c r="AQ53" s="355" t="str">
        <f>VLOOKUP(AQ52,Schlüssel!$A$5:$K$14,2)</f>
        <v xml:space="preserve">Weiß Blau Unterföhring </v>
      </c>
      <c r="AR53" s="356"/>
      <c r="AS53" s="355" t="str">
        <f>VLOOKUP(AS52,Schlüssel!$A$5:$K$14,2)</f>
        <v>BK München 3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01.02./02.02.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01.02./02.02.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10</v>
      </c>
      <c r="E82" s="353" t="str">
        <f t="shared" si="100"/>
        <v/>
      </c>
      <c r="F82" s="353">
        <f t="shared" si="100"/>
        <v>1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7</v>
      </c>
      <c r="O82" s="353" t="str">
        <f t="shared" si="101"/>
        <v/>
      </c>
      <c r="P82" s="353">
        <f t="shared" si="101"/>
        <v>5</v>
      </c>
      <c r="Q82" s="353" t="str">
        <f t="shared" si="101"/>
        <v/>
      </c>
      <c r="R82" s="353">
        <f t="shared" si="101"/>
        <v>4</v>
      </c>
      <c r="S82" s="353" t="str">
        <f t="shared" si="101"/>
        <v/>
      </c>
      <c r="T82" s="353">
        <f t="shared" si="101"/>
        <v>8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VLOOKUP($AA62,Schlüssel!$A$5:$DG$14,43)</f>
        <v>10</v>
      </c>
      <c r="AD82" s="368"/>
      <c r="AE82" s="367">
        <f>VLOOKUP($AA62,Schlüssel!$A$5:$EK$14,44)</f>
        <v>1</v>
      </c>
      <c r="AF82" s="368"/>
      <c r="AG82" s="367">
        <f>VLOOKUP($AA62,Schlüssel!$A$5:$EK$14,45)</f>
        <v>2</v>
      </c>
      <c r="AH82" s="368"/>
      <c r="AI82" s="367">
        <f>VLOOKUP($AA62,Schlüssel!$A$5:$EK$14,46)</f>
        <v>6</v>
      </c>
      <c r="AJ82" s="368"/>
      <c r="AK82" s="367">
        <f>VLOOKUP($AA62,Schlüssel!$A$5:$EK$14,47)</f>
        <v>9</v>
      </c>
      <c r="AL82" s="368"/>
      <c r="AM82" s="367">
        <f>VLOOKUP($AA62,Schlüssel!$A$5:$EK$14,48)</f>
        <v>7</v>
      </c>
      <c r="AN82" s="368"/>
      <c r="AO82" s="367">
        <f>VLOOKUP($AA62,Schlüssel!$A$5:$EK$14,49)</f>
        <v>5</v>
      </c>
      <c r="AP82" s="368"/>
      <c r="AQ82" s="367">
        <f>VLOOKUP($AA62,Schlüssel!$A$5:$EK$14,50)</f>
        <v>4</v>
      </c>
      <c r="AR82" s="368"/>
      <c r="AS82" s="367">
        <f>VLOOKUP($AA62,Schlüssel!$A$5:$EK$14,51)</f>
        <v>8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BK München 4</v>
      </c>
      <c r="E83" s="356" t="str">
        <f t="shared" si="100"/>
        <v/>
      </c>
      <c r="F83" s="355" t="str">
        <f t="shared" si="100"/>
        <v>Praetoria Regensburg</v>
      </c>
      <c r="G83" s="356" t="str">
        <f t="shared" si="100"/>
        <v/>
      </c>
      <c r="H83" s="355" t="str">
        <f t="shared" si="100"/>
        <v>BK München 2</v>
      </c>
      <c r="I83" s="356" t="str">
        <f t="shared" si="100"/>
        <v/>
      </c>
      <c r="J83" s="355" t="str">
        <f t="shared" si="100"/>
        <v>Phönix 03 Lauf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Frankenpower Nürnberg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3</v>
      </c>
      <c r="S83" s="356" t="str">
        <f t="shared" si="101"/>
        <v/>
      </c>
      <c r="T83" s="355" t="str">
        <f t="shared" si="101"/>
        <v>EPA München 1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4</v>
      </c>
      <c r="AD83" s="356"/>
      <c r="AE83" s="355" t="str">
        <f>VLOOKUP(AE82,Schlüssel!$A$5:$K$14,2)</f>
        <v>Praetoria Regensburg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Frankenpower Nürnberg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EPA München 1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01.02./02.02.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01.02./02.02.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3">IF(AE97=0,"",AE97)</f>
        <v/>
      </c>
      <c r="G97" s="345">
        <f>IF(AF97="","",AF97)</f>
        <v>0</v>
      </c>
      <c r="H97" s="75" t="str">
        <f t="shared" ref="H97:H110" si="104">IF(AG97=0,"",AG97)</f>
        <v/>
      </c>
      <c r="I97" s="345">
        <f>IF(AH97="","",AH97)</f>
        <v>0</v>
      </c>
      <c r="J97" s="75" t="str">
        <f t="shared" ref="J97:J110" si="105">IF(AI97=0,"",AI97)</f>
        <v/>
      </c>
      <c r="K97" s="345">
        <f>IF(AJ97="","",AJ97)</f>
        <v>0</v>
      </c>
      <c r="L97" s="75" t="str">
        <f t="shared" ref="L97:L110" si="106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7">IF(AO97=0,"",AO97)</f>
        <v/>
      </c>
      <c r="Q97" s="345">
        <f>IF(AP97="","",AP97)</f>
        <v>0</v>
      </c>
      <c r="R97" s="75" t="str">
        <f t="shared" ref="R97:R110" si="108">IF(AQ97=0,"",AQ97)</f>
        <v/>
      </c>
      <c r="S97" s="345">
        <f>IF(AR97="","",AR97)</f>
        <v>0</v>
      </c>
      <c r="T97" s="75" t="str">
        <f t="shared" ref="T97:T110" si="109">IF(AS97=0,"",AS97)</f>
        <v/>
      </c>
      <c r="U97" s="345">
        <f>IF(AT97="","",AT97)</f>
        <v>0</v>
      </c>
      <c r="V97" s="75" t="str">
        <f t="shared" ref="V97:V110" si="110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BK München 3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BK München 3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73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5">
        <f>IF(AD100="","",AD100)</f>
        <v>0</v>
      </c>
      <c r="F100" s="75" t="str">
        <f t="shared" si="103"/>
        <v/>
      </c>
      <c r="G100" s="345">
        <f>IF(AF100="","",AF100)</f>
        <v>0</v>
      </c>
      <c r="H100" s="75" t="str">
        <f t="shared" si="104"/>
        <v/>
      </c>
      <c r="I100" s="345">
        <f>IF(AH100="","",AH100)</f>
        <v>0</v>
      </c>
      <c r="J100" s="75" t="str">
        <f t="shared" si="105"/>
        <v/>
      </c>
      <c r="K100" s="345">
        <f>IF(AJ100="","",AJ100)</f>
        <v>0</v>
      </c>
      <c r="L100" s="75" t="str">
        <f t="shared" si="106"/>
        <v/>
      </c>
      <c r="M100" s="345">
        <f>IF(AL100="","",AL100)</f>
        <v>0</v>
      </c>
      <c r="N100" s="75" t="str">
        <f t="shared" si="123"/>
        <v/>
      </c>
      <c r="O100" s="345">
        <f>IF(AN100="","",AN100)</f>
        <v>0</v>
      </c>
      <c r="P100" s="75" t="str">
        <f t="shared" si="107"/>
        <v/>
      </c>
      <c r="Q100" s="345">
        <f>IF(AP100="","",AP100)</f>
        <v>0</v>
      </c>
      <c r="R100" s="75" t="str">
        <f t="shared" si="108"/>
        <v/>
      </c>
      <c r="S100" s="345">
        <f>IF(AR100="","",AR100)</f>
        <v>0</v>
      </c>
      <c r="T100" s="75" t="str">
        <f t="shared" si="109"/>
        <v/>
      </c>
      <c r="U100" s="345">
        <f>IF(AT100="","",AT100)</f>
        <v>0</v>
      </c>
      <c r="V100" s="75" t="str">
        <f t="shared" si="110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BK München 3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BK München 3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BK München 3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73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5">
        <f>IF(AD103="","",AD103)</f>
        <v>0</v>
      </c>
      <c r="F103" s="75" t="str">
        <f t="shared" si="103"/>
        <v/>
      </c>
      <c r="G103" s="345">
        <f>IF(AF103="","",AF103)</f>
        <v>0</v>
      </c>
      <c r="H103" s="75" t="str">
        <f t="shared" si="104"/>
        <v/>
      </c>
      <c r="I103" s="345">
        <f>IF(AH103="","",AH103)</f>
        <v>0</v>
      </c>
      <c r="J103" s="75" t="str">
        <f t="shared" si="105"/>
        <v/>
      </c>
      <c r="K103" s="345">
        <f>IF(AJ103="","",AJ103)</f>
        <v>0</v>
      </c>
      <c r="L103" s="75" t="str">
        <f t="shared" si="106"/>
        <v/>
      </c>
      <c r="M103" s="345">
        <f>IF(AL103="","",AL103)</f>
        <v>0</v>
      </c>
      <c r="N103" s="75" t="str">
        <f t="shared" si="123"/>
        <v/>
      </c>
      <c r="O103" s="345">
        <f>IF(AN103="","",AN103)</f>
        <v>0</v>
      </c>
      <c r="P103" s="75" t="str">
        <f t="shared" si="107"/>
        <v/>
      </c>
      <c r="Q103" s="345">
        <f>IF(AP103="","",AP103)</f>
        <v>0</v>
      </c>
      <c r="R103" s="75" t="str">
        <f t="shared" si="108"/>
        <v/>
      </c>
      <c r="S103" s="345">
        <f>IF(AR103="","",AR103)</f>
        <v>0</v>
      </c>
      <c r="T103" s="75" t="str">
        <f t="shared" si="109"/>
        <v/>
      </c>
      <c r="U103" s="345">
        <f>IF(AT103="","",AT103)</f>
        <v>0</v>
      </c>
      <c r="V103" s="75" t="str">
        <f t="shared" si="110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BK München 3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74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 t="str">
        <f t="shared" si="108"/>
        <v/>
      </c>
      <c r="S104" s="346"/>
      <c r="T104" s="78" t="str">
        <f t="shared" si="109"/>
        <v/>
      </c>
      <c r="U104" s="346"/>
      <c r="V104" s="78" t="str">
        <f t="shared" si="110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BK München 3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BK München 3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73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5">
        <f>IF(AD106="","",AD106)</f>
        <v>0</v>
      </c>
      <c r="F106" s="75" t="str">
        <f t="shared" si="103"/>
        <v/>
      </c>
      <c r="G106" s="345">
        <f>IF(AF106="","",AF106)</f>
        <v>0</v>
      </c>
      <c r="H106" s="75" t="str">
        <f t="shared" si="104"/>
        <v/>
      </c>
      <c r="I106" s="345">
        <f>IF(AH106="","",AH106)</f>
        <v>0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 t="str">
        <f t="shared" si="110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BK München 3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74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6"/>
      <c r="F107" s="78" t="str">
        <f t="shared" si="103"/>
        <v/>
      </c>
      <c r="G107" s="346"/>
      <c r="H107" s="78" t="str">
        <f t="shared" si="104"/>
        <v/>
      </c>
      <c r="I107" s="346"/>
      <c r="J107" s="78" t="str">
        <f t="shared" si="105"/>
        <v/>
      </c>
      <c r="K107" s="346"/>
      <c r="L107" s="78" t="str">
        <f t="shared" si="106"/>
        <v/>
      </c>
      <c r="M107" s="346"/>
      <c r="N107" s="78" t="str">
        <f t="shared" si="123"/>
        <v/>
      </c>
      <c r="O107" s="346"/>
      <c r="P107" s="78" t="str">
        <f t="shared" si="107"/>
        <v/>
      </c>
      <c r="Q107" s="346"/>
      <c r="R107" s="78" t="str">
        <f t="shared" si="108"/>
        <v/>
      </c>
      <c r="S107" s="346"/>
      <c r="T107" s="78" t="str">
        <f t="shared" si="109"/>
        <v/>
      </c>
      <c r="U107" s="346"/>
      <c r="V107" s="78" t="str">
        <f t="shared" si="110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BK München 3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BK München 3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6</v>
      </c>
      <c r="E112" s="353" t="str">
        <f t="shared" si="134"/>
        <v/>
      </c>
      <c r="F112" s="353">
        <f t="shared" si="134"/>
        <v>5</v>
      </c>
      <c r="G112" s="353" t="str">
        <f t="shared" si="134"/>
        <v/>
      </c>
      <c r="H112" s="353">
        <f t="shared" si="134"/>
        <v>9</v>
      </c>
      <c r="I112" s="353" t="str">
        <f t="shared" si="134"/>
        <v/>
      </c>
      <c r="J112" s="353">
        <f t="shared" si="134"/>
        <v>7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1</v>
      </c>
      <c r="O112" s="353" t="str">
        <f t="shared" si="135"/>
        <v/>
      </c>
      <c r="P112" s="353">
        <f t="shared" si="135"/>
        <v>10</v>
      </c>
      <c r="Q112" s="353" t="str">
        <f t="shared" si="135"/>
        <v/>
      </c>
      <c r="R112" s="353">
        <f t="shared" si="135"/>
        <v>3</v>
      </c>
      <c r="S112" s="353" t="str">
        <f t="shared" si="135"/>
        <v/>
      </c>
      <c r="T112" s="353">
        <f t="shared" si="135"/>
        <v>2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VLOOKUP($AA92,Schlüssel!$A$5:$DG$14,43)</f>
        <v>6</v>
      </c>
      <c r="AD112" s="368"/>
      <c r="AE112" s="367">
        <f>VLOOKUP($AA92,Schlüssel!$A$5:$EK$14,44)</f>
        <v>5</v>
      </c>
      <c r="AF112" s="368"/>
      <c r="AG112" s="367">
        <f>VLOOKUP($AA92,Schlüssel!$A$5:$EK$14,45)</f>
        <v>9</v>
      </c>
      <c r="AH112" s="368"/>
      <c r="AI112" s="367">
        <f>VLOOKUP($AA92,Schlüssel!$A$5:$EK$14,46)</f>
        <v>7</v>
      </c>
      <c r="AJ112" s="368"/>
      <c r="AK112" s="367">
        <f>VLOOKUP($AA92,Schlüssel!$A$5:$EK$14,47)</f>
        <v>8</v>
      </c>
      <c r="AL112" s="368"/>
      <c r="AM112" s="367">
        <f>VLOOKUP($AA92,Schlüssel!$A$5:$EK$14,48)</f>
        <v>1</v>
      </c>
      <c r="AN112" s="368"/>
      <c r="AO112" s="367">
        <f>VLOOKUP($AA92,Schlüssel!$A$5:$EK$14,49)</f>
        <v>10</v>
      </c>
      <c r="AP112" s="368"/>
      <c r="AQ112" s="367">
        <f>VLOOKUP($AA92,Schlüssel!$A$5:$EK$14,50)</f>
        <v>3</v>
      </c>
      <c r="AR112" s="368"/>
      <c r="AS112" s="367">
        <f>VLOOKUP($AA92,Schlüssel!$A$5:$EK$14,51)</f>
        <v>2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Phönix 03 Lauf</v>
      </c>
      <c r="E113" s="356" t="str">
        <f t="shared" si="134"/>
        <v/>
      </c>
      <c r="F113" s="355" t="str">
        <f t="shared" si="134"/>
        <v xml:space="preserve">Weiß Blau Unterföhring </v>
      </c>
      <c r="G113" s="356" t="str">
        <f t="shared" si="134"/>
        <v/>
      </c>
      <c r="H113" s="355" t="str">
        <f t="shared" si="134"/>
        <v>RW Lichtenhof 69 Stein 2</v>
      </c>
      <c r="I113" s="356" t="str">
        <f t="shared" si="134"/>
        <v/>
      </c>
      <c r="J113" s="355" t="str">
        <f t="shared" si="134"/>
        <v>Frankenpower Nürnberg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Praetoria Regensburg</v>
      </c>
      <c r="O113" s="356" t="str">
        <f t="shared" si="135"/>
        <v/>
      </c>
      <c r="P113" s="355" t="str">
        <f t="shared" si="135"/>
        <v>BK München 4</v>
      </c>
      <c r="Q113" s="356" t="str">
        <f t="shared" si="135"/>
        <v/>
      </c>
      <c r="R113" s="355" t="str">
        <f t="shared" si="135"/>
        <v>Highroller Rosenheim</v>
      </c>
      <c r="S113" s="356" t="str">
        <f t="shared" si="135"/>
        <v/>
      </c>
      <c r="T113" s="355" t="str">
        <f t="shared" si="135"/>
        <v>BK München 2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Phönix 03 Lauf</v>
      </c>
      <c r="AD113" s="356"/>
      <c r="AE113" s="355" t="str">
        <f>VLOOKUP(AE112,Schlüssel!$A$5:$K$14,2)</f>
        <v xml:space="preserve">Weiß Blau Unterföhring 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Praetoria Regensburg</v>
      </c>
      <c r="AN113" s="356"/>
      <c r="AO113" s="355" t="str">
        <f>VLOOKUP(AO112,Schlüssel!$A$5:$K$14,2)</f>
        <v>BK München 4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VLOOKUP(AS112,Schlüssel!$A$5:$K$14,2)</f>
        <v>BK München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01.02./02.02.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01.02./02.02.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7">IF(AE127=0,"",AE127)</f>
        <v/>
      </c>
      <c r="G127" s="345">
        <f>IF(AF127="","",AF127)</f>
        <v>0</v>
      </c>
      <c r="H127" s="75" t="str">
        <f t="shared" ref="H127:H140" si="138">IF(AG127=0,"",AG127)</f>
        <v/>
      </c>
      <c r="I127" s="345">
        <f>IF(AH127="","",AH127)</f>
        <v>0</v>
      </c>
      <c r="J127" s="75" t="str">
        <f t="shared" ref="J127:J140" si="139">IF(AI127=0,"",AI127)</f>
        <v/>
      </c>
      <c r="K127" s="345">
        <f>IF(AJ127="","",AJ127)</f>
        <v>0</v>
      </c>
      <c r="L127" s="75" t="str">
        <f t="shared" ref="L127:L140" si="140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1">IF(AO127=0,"",AO127)</f>
        <v/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0</v>
      </c>
      <c r="T127" s="75" t="str">
        <f t="shared" ref="T127:T140" si="143">IF(AS127=0,"",AS127)</f>
        <v/>
      </c>
      <c r="U127" s="345">
        <f>IF(AT127="","",AT127)</f>
        <v>0</v>
      </c>
      <c r="V127" s="75" t="str">
        <f t="shared" ref="V127:V140" si="144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74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 t="str">
        <f t="shared" si="142"/>
        <v/>
      </c>
      <c r="S128" s="346"/>
      <c r="T128" s="78" t="str">
        <f t="shared" si="143"/>
        <v/>
      </c>
      <c r="U128" s="346"/>
      <c r="V128" s="78" t="str">
        <f t="shared" si="144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 xml:space="preserve">Weiß Blau Unterföhring 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73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5">
        <f>IF(AD130="","",AD130)</f>
        <v>0</v>
      </c>
      <c r="F130" s="75" t="str">
        <f t="shared" si="137"/>
        <v/>
      </c>
      <c r="G130" s="345">
        <f>IF(AF130="","",AF130)</f>
        <v>0</v>
      </c>
      <c r="H130" s="75" t="str">
        <f t="shared" si="138"/>
        <v/>
      </c>
      <c r="I130" s="345">
        <f>IF(AH130="","",AH130)</f>
        <v>0</v>
      </c>
      <c r="J130" s="75" t="str">
        <f t="shared" si="139"/>
        <v/>
      </c>
      <c r="K130" s="345">
        <f>IF(AJ130="","",AJ130)</f>
        <v>0</v>
      </c>
      <c r="L130" s="75" t="str">
        <f t="shared" si="140"/>
        <v/>
      </c>
      <c r="M130" s="345">
        <f>IF(AL130="","",AL130)</f>
        <v>0</v>
      </c>
      <c r="N130" s="75" t="str">
        <f t="shared" si="157"/>
        <v/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0</v>
      </c>
      <c r="T130" s="75" t="str">
        <f t="shared" si="143"/>
        <v/>
      </c>
      <c r="U130" s="345">
        <f>IF(AT130="","",AT130)</f>
        <v>0</v>
      </c>
      <c r="V130" s="75" t="str">
        <f t="shared" si="144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 xml:space="preserve">Weiß Blau Unterföhring 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74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 t="str">
        <f t="shared" si="139"/>
        <v/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 t="str">
        <f t="shared" si="141"/>
        <v/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 t="str">
        <f t="shared" si="144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 xml:space="preserve">Weiß Blau Unterföhring 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75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 t="str">
        <f t="shared" si="142"/>
        <v/>
      </c>
      <c r="S132" s="347"/>
      <c r="T132" s="69" t="str">
        <f t="shared" si="143"/>
        <v/>
      </c>
      <c r="U132" s="347"/>
      <c r="V132" s="69" t="str">
        <f t="shared" si="144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 xml:space="preserve">Weiß Blau Unterföhring 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73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5">
        <f>IF(AD133="","",AD133)</f>
        <v>0</v>
      </c>
      <c r="F133" s="75" t="str">
        <f t="shared" si="137"/>
        <v/>
      </c>
      <c r="G133" s="345">
        <f>IF(AF133="","",AF133)</f>
        <v>0</v>
      </c>
      <c r="H133" s="75" t="str">
        <f t="shared" si="138"/>
        <v/>
      </c>
      <c r="I133" s="345">
        <f>IF(AH133="","",AH133)</f>
        <v>0</v>
      </c>
      <c r="J133" s="75" t="str">
        <f t="shared" si="139"/>
        <v/>
      </c>
      <c r="K133" s="345">
        <f>IF(AJ133="","",AJ133)</f>
        <v>0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0</v>
      </c>
      <c r="T133" s="75" t="str">
        <f t="shared" si="143"/>
        <v/>
      </c>
      <c r="U133" s="345">
        <f>IF(AT133="","",AT133)</f>
        <v>0</v>
      </c>
      <c r="V133" s="75" t="str">
        <f t="shared" si="144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 xml:space="preserve">Weiß Blau Unterföhring 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74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6"/>
      <c r="F134" s="78" t="str">
        <f t="shared" si="137"/>
        <v/>
      </c>
      <c r="G134" s="346"/>
      <c r="H134" s="78" t="str">
        <f t="shared" si="138"/>
        <v/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 t="str">
        <f t="shared" si="144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 xml:space="preserve">Weiß Blau Unterföhring 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75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 t="str">
        <f t="shared" si="140"/>
        <v/>
      </c>
      <c r="M135" s="347"/>
      <c r="N135" s="69" t="str">
        <f t="shared" si="157"/>
        <v/>
      </c>
      <c r="O135" s="347"/>
      <c r="P135" s="69" t="str">
        <f t="shared" si="141"/>
        <v/>
      </c>
      <c r="Q135" s="347"/>
      <c r="R135" s="69" t="str">
        <f t="shared" si="142"/>
        <v/>
      </c>
      <c r="S135" s="347"/>
      <c r="T135" s="69" t="str">
        <f t="shared" si="143"/>
        <v/>
      </c>
      <c r="U135" s="347"/>
      <c r="V135" s="69" t="str">
        <f t="shared" si="144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 xml:space="preserve">Weiß Blau Unterföhring 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73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5">
        <f>IF(AD136="","",AD136)</f>
        <v>0</v>
      </c>
      <c r="F136" s="75" t="str">
        <f t="shared" si="137"/>
        <v/>
      </c>
      <c r="G136" s="345">
        <f>IF(AF136="","",AF136)</f>
        <v>0</v>
      </c>
      <c r="H136" s="75" t="str">
        <f t="shared" si="138"/>
        <v/>
      </c>
      <c r="I136" s="345">
        <f>IF(AH136="","",AH136)</f>
        <v>0</v>
      </c>
      <c r="J136" s="75" t="str">
        <f t="shared" si="139"/>
        <v/>
      </c>
      <c r="K136" s="345">
        <f>IF(AJ136="","",AJ136)</f>
        <v>0</v>
      </c>
      <c r="L136" s="75" t="str">
        <f t="shared" si="140"/>
        <v/>
      </c>
      <c r="M136" s="345">
        <f>IF(AL136="","",AL136)</f>
        <v>0</v>
      </c>
      <c r="N136" s="75" t="str">
        <f t="shared" si="157"/>
        <v/>
      </c>
      <c r="O136" s="345">
        <f>IF(AN136="","",AN136)</f>
        <v>0</v>
      </c>
      <c r="P136" s="75" t="str">
        <f t="shared" si="141"/>
        <v/>
      </c>
      <c r="Q136" s="345">
        <f>IF(AP136="","",AP136)</f>
        <v>0</v>
      </c>
      <c r="R136" s="75" t="str">
        <f t="shared" si="142"/>
        <v/>
      </c>
      <c r="S136" s="345">
        <f>IF(AR136="","",AR136)</f>
        <v>0</v>
      </c>
      <c r="T136" s="75" t="str">
        <f t="shared" si="143"/>
        <v/>
      </c>
      <c r="U136" s="345">
        <f>IF(AT136="","",AT136)</f>
        <v>0</v>
      </c>
      <c r="V136" s="75" t="str">
        <f t="shared" si="144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 xml:space="preserve">Weiß Blau Unterföhring 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 xml:space="preserve">Weiß Blau Unterföhring 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 xml:space="preserve">Weiß Blau Unterföhring 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1</v>
      </c>
      <c r="E142" s="353" t="str">
        <f t="shared" si="168"/>
        <v/>
      </c>
      <c r="F142" s="353">
        <f t="shared" si="168"/>
        <v>4</v>
      </c>
      <c r="G142" s="353" t="str">
        <f t="shared" si="168"/>
        <v/>
      </c>
      <c r="H142" s="353">
        <f t="shared" si="168"/>
        <v>6</v>
      </c>
      <c r="I142" s="353" t="str">
        <f t="shared" si="168"/>
        <v/>
      </c>
      <c r="J142" s="353">
        <f t="shared" si="168"/>
        <v>9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8</v>
      </c>
      <c r="O142" s="353" t="str">
        <f t="shared" si="169"/>
        <v/>
      </c>
      <c r="P142" s="353">
        <f t="shared" si="169"/>
        <v>3</v>
      </c>
      <c r="Q142" s="353" t="str">
        <f t="shared" si="169"/>
        <v/>
      </c>
      <c r="R142" s="353">
        <f t="shared" si="169"/>
        <v>2</v>
      </c>
      <c r="S142" s="353" t="str">
        <f t="shared" si="169"/>
        <v/>
      </c>
      <c r="T142" s="353">
        <f t="shared" si="169"/>
        <v>7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VLOOKUP($AA122,Schlüssel!$A$5:$DG$14,43)</f>
        <v>1</v>
      </c>
      <c r="AD142" s="368"/>
      <c r="AE142" s="367">
        <f>VLOOKUP($AA122,Schlüssel!$A$5:$EK$14,44)</f>
        <v>4</v>
      </c>
      <c r="AF142" s="368"/>
      <c r="AG142" s="367">
        <f>VLOOKUP($AA122,Schlüssel!$A$5:$EK$14,45)</f>
        <v>6</v>
      </c>
      <c r="AH142" s="368"/>
      <c r="AI142" s="367">
        <f>VLOOKUP($AA122,Schlüssel!$A$5:$EK$14,46)</f>
        <v>9</v>
      </c>
      <c r="AJ142" s="368"/>
      <c r="AK142" s="367">
        <f>VLOOKUP($AA122,Schlüssel!$A$5:$EK$14,47)</f>
        <v>10</v>
      </c>
      <c r="AL142" s="368"/>
      <c r="AM142" s="367">
        <f>VLOOKUP($AA122,Schlüssel!$A$5:$EK$14,48)</f>
        <v>8</v>
      </c>
      <c r="AN142" s="368"/>
      <c r="AO142" s="367">
        <f>VLOOKUP($AA122,Schlüssel!$A$5:$EK$14,49)</f>
        <v>3</v>
      </c>
      <c r="AP142" s="368"/>
      <c r="AQ142" s="367">
        <f>VLOOKUP($AA122,Schlüssel!$A$5:$EK$14,50)</f>
        <v>2</v>
      </c>
      <c r="AR142" s="368"/>
      <c r="AS142" s="367">
        <f>VLOOKUP($AA122,Schlüssel!$A$5:$EK$14,51)</f>
        <v>7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Praetoria Regensburg</v>
      </c>
      <c r="E143" s="356" t="str">
        <f t="shared" si="168"/>
        <v/>
      </c>
      <c r="F143" s="355" t="str">
        <f t="shared" si="168"/>
        <v>BK München 3</v>
      </c>
      <c r="G143" s="356" t="str">
        <f t="shared" si="168"/>
        <v/>
      </c>
      <c r="H143" s="355" t="str">
        <f t="shared" si="168"/>
        <v>Phönix 03 Lauf</v>
      </c>
      <c r="I143" s="356" t="str">
        <f t="shared" si="168"/>
        <v/>
      </c>
      <c r="J143" s="355" t="str">
        <f t="shared" si="168"/>
        <v>RW Lichtenhof 69 Stein 2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EPA München 1</v>
      </c>
      <c r="O143" s="356" t="str">
        <f t="shared" si="169"/>
        <v/>
      </c>
      <c r="P143" s="355" t="str">
        <f t="shared" si="169"/>
        <v>Highroller Rosenheim</v>
      </c>
      <c r="Q143" s="356" t="str">
        <f t="shared" si="169"/>
        <v/>
      </c>
      <c r="R143" s="355" t="str">
        <f t="shared" si="169"/>
        <v>BK München 2</v>
      </c>
      <c r="S143" s="356" t="str">
        <f t="shared" si="169"/>
        <v/>
      </c>
      <c r="T143" s="355" t="str">
        <f t="shared" si="169"/>
        <v>Frankenpower Nürnberg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Praetoria Regensburg</v>
      </c>
      <c r="AD143" s="356"/>
      <c r="AE143" s="355" t="str">
        <f>VLOOKUP(AE142,Schlüssel!$A$5:$K$14,2)</f>
        <v>BK München 3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RW Lichtenhof 69 Stein 2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BK München 2</v>
      </c>
      <c r="AR143" s="356"/>
      <c r="AS143" s="355" t="str">
        <f>VLOOKUP(AS142,Schlüssel!$A$5:$K$14,2)</f>
        <v>Frankenpower Nürnberg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01.02./02.02.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01.02./02.02.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1">IF(AE157=0,"",AE157)</f>
        <v/>
      </c>
      <c r="G157" s="345">
        <f>IF(AF157="","",AF157)</f>
        <v>0</v>
      </c>
      <c r="H157" s="75" t="str">
        <f t="shared" ref="H157:H170" si="172">IF(AG157=0,"",AG157)</f>
        <v/>
      </c>
      <c r="I157" s="345">
        <f>IF(AH157="","",AH157)</f>
        <v>0</v>
      </c>
      <c r="J157" s="75" t="str">
        <f t="shared" ref="J157:J170" si="173">IF(AI157=0,"",AI157)</f>
        <v/>
      </c>
      <c r="K157" s="345">
        <f>IF(AJ157="","",AJ157)</f>
        <v>0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0</v>
      </c>
      <c r="T157" s="75" t="str">
        <f t="shared" ref="T157:T170" si="177">IF(AS157=0,"",AS157)</f>
        <v/>
      </c>
      <c r="U157" s="345">
        <f>IF(AT157="","",AT157)</f>
        <v>0</v>
      </c>
      <c r="V157" s="75" t="str">
        <f t="shared" ref="V157:V170" si="178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74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 t="str">
        <f t="shared" si="173"/>
        <v/>
      </c>
      <c r="K158" s="346"/>
      <c r="L158" s="78" t="str">
        <f t="shared" si="174"/>
        <v/>
      </c>
      <c r="M158" s="346"/>
      <c r="N158" s="78" t="str">
        <f t="shared" ref="N158:N170" si="191">IF(AM158=0,"",AM158)</f>
        <v/>
      </c>
      <c r="O158" s="346"/>
      <c r="P158" s="78" t="str">
        <f t="shared" si="175"/>
        <v/>
      </c>
      <c r="Q158" s="346"/>
      <c r="R158" s="78" t="str">
        <f t="shared" si="176"/>
        <v/>
      </c>
      <c r="S158" s="346"/>
      <c r="T158" s="78" t="str">
        <f t="shared" si="177"/>
        <v/>
      </c>
      <c r="U158" s="346"/>
      <c r="V158" s="78" t="str">
        <f t="shared" si="178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Phönix 03 Lauf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Phönix 03 Lauf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73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5">
        <f>IF(AD160="","",AD160)</f>
        <v>0</v>
      </c>
      <c r="F160" s="75" t="str">
        <f t="shared" si="171"/>
        <v/>
      </c>
      <c r="G160" s="345">
        <f>IF(AF160="","",AF160)</f>
        <v>0</v>
      </c>
      <c r="H160" s="75" t="str">
        <f t="shared" si="172"/>
        <v/>
      </c>
      <c r="I160" s="345">
        <f>IF(AH160="","",AH160)</f>
        <v>0</v>
      </c>
      <c r="J160" s="75" t="str">
        <f t="shared" si="173"/>
        <v/>
      </c>
      <c r="K160" s="345">
        <f>IF(AJ160="","",AJ160)</f>
        <v>0</v>
      </c>
      <c r="L160" s="75" t="str">
        <f t="shared" si="174"/>
        <v/>
      </c>
      <c r="M160" s="345">
        <f>IF(AL160="","",AL160)</f>
        <v>0</v>
      </c>
      <c r="N160" s="75" t="str">
        <f t="shared" si="191"/>
        <v/>
      </c>
      <c r="O160" s="345">
        <f>IF(AN160="","",AN160)</f>
        <v>0</v>
      </c>
      <c r="P160" s="75" t="str">
        <f t="shared" si="175"/>
        <v/>
      </c>
      <c r="Q160" s="345">
        <f>IF(AP160="","",AP160)</f>
        <v>0</v>
      </c>
      <c r="R160" s="75" t="str">
        <f t="shared" si="176"/>
        <v/>
      </c>
      <c r="S160" s="345">
        <f>IF(AR160="","",AR160)</f>
        <v>0</v>
      </c>
      <c r="T160" s="75" t="str">
        <f t="shared" si="177"/>
        <v/>
      </c>
      <c r="U160" s="345">
        <f>IF(AT160="","",AT160)</f>
        <v>0</v>
      </c>
      <c r="V160" s="75" t="str">
        <f t="shared" si="178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Phönix 03 Lauf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Phönix 03 Lauf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Phönix 03 Lauf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73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5">
        <f>IF(AD163="","",AD163)</f>
        <v>0</v>
      </c>
      <c r="F163" s="75" t="str">
        <f t="shared" si="171"/>
        <v/>
      </c>
      <c r="G163" s="345">
        <f>IF(AF163="","",AF163)</f>
        <v>0</v>
      </c>
      <c r="H163" s="75" t="str">
        <f t="shared" si="172"/>
        <v/>
      </c>
      <c r="I163" s="345">
        <f>IF(AH163="","",AH163)</f>
        <v>0</v>
      </c>
      <c r="J163" s="75" t="str">
        <f t="shared" si="173"/>
        <v/>
      </c>
      <c r="K163" s="345">
        <f>IF(AJ163="","",AJ163)</f>
        <v>0</v>
      </c>
      <c r="L163" s="75" t="str">
        <f t="shared" si="174"/>
        <v/>
      </c>
      <c r="M163" s="345">
        <f>IF(AL163="","",AL163)</f>
        <v>0</v>
      </c>
      <c r="N163" s="75" t="str">
        <f t="shared" si="191"/>
        <v/>
      </c>
      <c r="O163" s="345">
        <f>IF(AN163="","",AN163)</f>
        <v>0</v>
      </c>
      <c r="P163" s="75" t="str">
        <f t="shared" si="175"/>
        <v/>
      </c>
      <c r="Q163" s="345">
        <f>IF(AP163="","",AP163)</f>
        <v>0</v>
      </c>
      <c r="R163" s="75" t="str">
        <f t="shared" si="176"/>
        <v/>
      </c>
      <c r="S163" s="345">
        <f>IF(AR163="","",AR163)</f>
        <v>0</v>
      </c>
      <c r="T163" s="75" t="str">
        <f t="shared" si="177"/>
        <v/>
      </c>
      <c r="U163" s="345">
        <f>IF(AT163="","",AT163)</f>
        <v>0</v>
      </c>
      <c r="V163" s="75" t="str">
        <f t="shared" si="178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Phönix 03 Lauf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74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6"/>
      <c r="F164" s="78" t="str">
        <f t="shared" si="171"/>
        <v/>
      </c>
      <c r="G164" s="346"/>
      <c r="H164" s="78" t="str">
        <f t="shared" si="172"/>
        <v/>
      </c>
      <c r="I164" s="346"/>
      <c r="J164" s="78" t="str">
        <f t="shared" si="173"/>
        <v/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 t="str">
        <f t="shared" si="178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Phönix 03 Lauf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Phönix 03 Lauf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73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5">
        <f>IF(AD166="","",AD166)</f>
        <v>0</v>
      </c>
      <c r="F166" s="75" t="str">
        <f t="shared" si="171"/>
        <v/>
      </c>
      <c r="G166" s="345">
        <f>IF(AF166="","",AF166)</f>
        <v>0</v>
      </c>
      <c r="H166" s="75" t="str">
        <f t="shared" si="172"/>
        <v/>
      </c>
      <c r="I166" s="345">
        <f>IF(AH166="","",AH166)</f>
        <v>0</v>
      </c>
      <c r="J166" s="75" t="str">
        <f t="shared" si="173"/>
        <v/>
      </c>
      <c r="K166" s="345">
        <f>IF(AJ166="","",AJ166)</f>
        <v>0</v>
      </c>
      <c r="L166" s="75" t="str">
        <f t="shared" si="174"/>
        <v/>
      </c>
      <c r="M166" s="345">
        <f>IF(AL166="","",AL166)</f>
        <v>0</v>
      </c>
      <c r="N166" s="75" t="str">
        <f t="shared" si="191"/>
        <v/>
      </c>
      <c r="O166" s="345">
        <f>IF(AN166="","",AN166)</f>
        <v>0</v>
      </c>
      <c r="P166" s="75" t="str">
        <f t="shared" si="175"/>
        <v/>
      </c>
      <c r="Q166" s="345">
        <f>IF(AP166="","",AP166)</f>
        <v>0</v>
      </c>
      <c r="R166" s="75" t="str">
        <f t="shared" si="176"/>
        <v/>
      </c>
      <c r="S166" s="345">
        <f>IF(AR166="","",AR166)</f>
        <v>0</v>
      </c>
      <c r="T166" s="75" t="str">
        <f t="shared" si="177"/>
        <v/>
      </c>
      <c r="U166" s="345">
        <f>IF(AT166="","",AT166)</f>
        <v>0</v>
      </c>
      <c r="V166" s="75" t="str">
        <f t="shared" si="178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Phönix 03 Lauf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Phönix 03 Lauf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Phönix 03 Lauf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4</v>
      </c>
      <c r="E172" s="353" t="str">
        <f t="shared" si="202"/>
        <v/>
      </c>
      <c r="F172" s="353">
        <f t="shared" si="202"/>
        <v>7</v>
      </c>
      <c r="G172" s="353" t="str">
        <f t="shared" si="202"/>
        <v/>
      </c>
      <c r="H172" s="353">
        <f t="shared" si="202"/>
        <v>5</v>
      </c>
      <c r="I172" s="353" t="str">
        <f t="shared" si="202"/>
        <v/>
      </c>
      <c r="J172" s="353">
        <f t="shared" si="202"/>
        <v>3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2</v>
      </c>
      <c r="O172" s="353" t="str">
        <f t="shared" si="203"/>
        <v/>
      </c>
      <c r="P172" s="353">
        <f t="shared" si="203"/>
        <v>8</v>
      </c>
      <c r="Q172" s="353" t="str">
        <f t="shared" si="203"/>
        <v/>
      </c>
      <c r="R172" s="353">
        <f t="shared" si="203"/>
        <v>10</v>
      </c>
      <c r="S172" s="353" t="str">
        <f t="shared" si="203"/>
        <v/>
      </c>
      <c r="T172" s="353">
        <f t="shared" si="203"/>
        <v>9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VLOOKUP($AA152,Schlüssel!$A$5:$DG$14,43)</f>
        <v>4</v>
      </c>
      <c r="AD172" s="368"/>
      <c r="AE172" s="367">
        <f>VLOOKUP($AA152,Schlüssel!$A$5:$EK$14,44)</f>
        <v>7</v>
      </c>
      <c r="AF172" s="368"/>
      <c r="AG172" s="367">
        <f>VLOOKUP($AA152,Schlüssel!$A$5:$EK$14,45)</f>
        <v>5</v>
      </c>
      <c r="AH172" s="368"/>
      <c r="AI172" s="367">
        <f>VLOOKUP($AA152,Schlüssel!$A$5:$EK$14,46)</f>
        <v>3</v>
      </c>
      <c r="AJ172" s="368"/>
      <c r="AK172" s="367">
        <f>VLOOKUP($AA152,Schlüssel!$A$5:$EK$14,47)</f>
        <v>1</v>
      </c>
      <c r="AL172" s="368"/>
      <c r="AM172" s="367">
        <f>VLOOKUP($AA152,Schlüssel!$A$5:$EK$14,48)</f>
        <v>2</v>
      </c>
      <c r="AN172" s="368"/>
      <c r="AO172" s="367">
        <f>VLOOKUP($AA152,Schlüssel!$A$5:$EK$14,49)</f>
        <v>8</v>
      </c>
      <c r="AP172" s="368"/>
      <c r="AQ172" s="367">
        <f>VLOOKUP($AA152,Schlüssel!$A$5:$EK$14,50)</f>
        <v>10</v>
      </c>
      <c r="AR172" s="368"/>
      <c r="AS172" s="367">
        <f>VLOOKUP($AA152,Schlüssel!$A$5:$EK$14,51)</f>
        <v>9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BK München 3</v>
      </c>
      <c r="E173" s="356" t="str">
        <f t="shared" si="202"/>
        <v/>
      </c>
      <c r="F173" s="355" t="str">
        <f t="shared" si="202"/>
        <v>Frankenpower Nürnberg</v>
      </c>
      <c r="G173" s="356" t="str">
        <f t="shared" si="202"/>
        <v/>
      </c>
      <c r="H173" s="355" t="str">
        <f t="shared" si="202"/>
        <v xml:space="preserve">Weiß Blau Unterföhring </v>
      </c>
      <c r="I173" s="356" t="str">
        <f t="shared" si="202"/>
        <v/>
      </c>
      <c r="J173" s="355" t="str">
        <f t="shared" si="202"/>
        <v>Highroller Rosenheim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BK München 2</v>
      </c>
      <c r="O173" s="356" t="str">
        <f t="shared" si="203"/>
        <v/>
      </c>
      <c r="P173" s="355" t="str">
        <f t="shared" si="203"/>
        <v>EPA München 1</v>
      </c>
      <c r="Q173" s="356" t="str">
        <f t="shared" si="203"/>
        <v/>
      </c>
      <c r="R173" s="355" t="str">
        <f t="shared" si="203"/>
        <v>BK München 4</v>
      </c>
      <c r="S173" s="356" t="str">
        <f t="shared" si="203"/>
        <v/>
      </c>
      <c r="T173" s="355" t="str">
        <f t="shared" si="203"/>
        <v>RW Lichtenhof 69 Stein 2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BK München 3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BK München 2</v>
      </c>
      <c r="AN173" s="356"/>
      <c r="AO173" s="355" t="str">
        <f>VLOOKUP(AO172,Schlüssel!$A$5:$K$14,2)</f>
        <v>EPA München 1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RW Lichtenhof 69 Stein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01.02./02.02.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01.02./02.02.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5">IF(AE187=0,"",AE187)</f>
        <v/>
      </c>
      <c r="G187" s="345">
        <f>IF(AF187="","",AF187)</f>
        <v>0</v>
      </c>
      <c r="H187" s="75" t="str">
        <f t="shared" ref="H187:H200" si="206">IF(AG187=0,"",AG187)</f>
        <v/>
      </c>
      <c r="I187" s="345">
        <f>IF(AH187="","",AH187)</f>
        <v>0</v>
      </c>
      <c r="J187" s="75" t="str">
        <f t="shared" ref="J187:J200" si="207">IF(AI187=0,"",AI187)</f>
        <v/>
      </c>
      <c r="K187" s="345">
        <f>IF(AJ187="","",AJ187)</f>
        <v>0</v>
      </c>
      <c r="L187" s="75" t="str">
        <f t="shared" ref="L187:L200" si="208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09">IF(AO187=0,"",AO187)</f>
        <v/>
      </c>
      <c r="Q187" s="345">
        <f>IF(AP187="","",AP187)</f>
        <v>0</v>
      </c>
      <c r="R187" s="75" t="str">
        <f t="shared" ref="R187:R200" si="210">IF(AQ187=0,"",AQ187)</f>
        <v/>
      </c>
      <c r="S187" s="345">
        <f>IF(AR187="","",AR187)</f>
        <v>0</v>
      </c>
      <c r="T187" s="75" t="str">
        <f t="shared" ref="T187:T200" si="211">IF(AS187=0,"",AS187)</f>
        <v/>
      </c>
      <c r="U187" s="345">
        <f>IF(AT187="","",AT187)</f>
        <v>0</v>
      </c>
      <c r="V187" s="75" t="str">
        <f t="shared" ref="V187:V200" si="212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Frankenpower Nürnberg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Frankenpower Nürnberg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73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5">
        <f>IF(AD190="","",AD190)</f>
        <v>0</v>
      </c>
      <c r="F190" s="75" t="str">
        <f t="shared" si="205"/>
        <v/>
      </c>
      <c r="G190" s="345">
        <f>IF(AF190="","",AF190)</f>
        <v>0</v>
      </c>
      <c r="H190" s="75" t="str">
        <f t="shared" si="206"/>
        <v/>
      </c>
      <c r="I190" s="345">
        <f>IF(AH190="","",AH190)</f>
        <v>0</v>
      </c>
      <c r="J190" s="75" t="str">
        <f t="shared" si="207"/>
        <v/>
      </c>
      <c r="K190" s="345">
        <f>IF(AJ190="","",AJ190)</f>
        <v>0</v>
      </c>
      <c r="L190" s="75" t="str">
        <f t="shared" si="208"/>
        <v/>
      </c>
      <c r="M190" s="345">
        <f>IF(AL190="","",AL190)</f>
        <v>0</v>
      </c>
      <c r="N190" s="75" t="str">
        <f t="shared" si="225"/>
        <v/>
      </c>
      <c r="O190" s="345">
        <f>IF(AN190="","",AN190)</f>
        <v>0</v>
      </c>
      <c r="P190" s="75" t="str">
        <f t="shared" si="209"/>
        <v/>
      </c>
      <c r="Q190" s="345">
        <f>IF(AP190="","",AP190)</f>
        <v>0</v>
      </c>
      <c r="R190" s="75" t="str">
        <f t="shared" si="210"/>
        <v/>
      </c>
      <c r="S190" s="345">
        <f>IF(AR190="","",AR190)</f>
        <v>0</v>
      </c>
      <c r="T190" s="75" t="str">
        <f t="shared" si="211"/>
        <v/>
      </c>
      <c r="U190" s="345">
        <f>IF(AT190="","",AT190)</f>
        <v>0</v>
      </c>
      <c r="V190" s="75" t="str">
        <f t="shared" si="212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Frankenpower Nürnberg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Frankenpower Nürnberg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Frankenpower Nürnberg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73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5">
        <f>IF(AD193="","",AD193)</f>
        <v>0</v>
      </c>
      <c r="F193" s="75" t="str">
        <f t="shared" si="205"/>
        <v/>
      </c>
      <c r="G193" s="345">
        <f>IF(AF193="","",AF193)</f>
        <v>0</v>
      </c>
      <c r="H193" s="75" t="str">
        <f t="shared" si="206"/>
        <v/>
      </c>
      <c r="I193" s="345">
        <f>IF(AH193="","",AH193)</f>
        <v>0</v>
      </c>
      <c r="J193" s="75" t="str">
        <f t="shared" si="207"/>
        <v/>
      </c>
      <c r="K193" s="345">
        <f>IF(AJ193="","",AJ193)</f>
        <v>0</v>
      </c>
      <c r="L193" s="75" t="str">
        <f t="shared" si="208"/>
        <v/>
      </c>
      <c r="M193" s="345">
        <f>IF(AL193="","",AL193)</f>
        <v>0</v>
      </c>
      <c r="N193" s="75" t="str">
        <f t="shared" si="225"/>
        <v/>
      </c>
      <c r="O193" s="345">
        <f>IF(AN193="","",AN193)</f>
        <v>0</v>
      </c>
      <c r="P193" s="75" t="str">
        <f t="shared" si="209"/>
        <v/>
      </c>
      <c r="Q193" s="345">
        <f>IF(AP193="","",AP193)</f>
        <v>0</v>
      </c>
      <c r="R193" s="75" t="str">
        <f t="shared" si="210"/>
        <v/>
      </c>
      <c r="S193" s="345">
        <f>IF(AR193="","",AR193)</f>
        <v>0</v>
      </c>
      <c r="T193" s="75" t="str">
        <f t="shared" si="211"/>
        <v/>
      </c>
      <c r="U193" s="345">
        <f>IF(AT193="","",AT193)</f>
        <v>0</v>
      </c>
      <c r="V193" s="75" t="str">
        <f t="shared" si="212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Frankenpower Nürnberg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Frankenpower Nürnberg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Frankenpower Nürnberg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73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5">
        <f>IF(AD196="","",AD196)</f>
        <v>0</v>
      </c>
      <c r="F196" s="75" t="str">
        <f t="shared" si="205"/>
        <v/>
      </c>
      <c r="G196" s="345">
        <f>IF(AF196="","",AF196)</f>
        <v>0</v>
      </c>
      <c r="H196" s="75" t="str">
        <f t="shared" si="206"/>
        <v/>
      </c>
      <c r="I196" s="345">
        <f>IF(AH196="","",AH196)</f>
        <v>0</v>
      </c>
      <c r="J196" s="75" t="str">
        <f t="shared" si="207"/>
        <v/>
      </c>
      <c r="K196" s="345">
        <f>IF(AJ196="","",AJ196)</f>
        <v>0</v>
      </c>
      <c r="L196" s="75" t="str">
        <f t="shared" si="208"/>
        <v/>
      </c>
      <c r="M196" s="345">
        <f>IF(AL196="","",AL196)</f>
        <v>0</v>
      </c>
      <c r="N196" s="75" t="str">
        <f t="shared" si="225"/>
        <v/>
      </c>
      <c r="O196" s="345">
        <f>IF(AN196="","",AN196)</f>
        <v>0</v>
      </c>
      <c r="P196" s="75" t="str">
        <f t="shared" si="209"/>
        <v/>
      </c>
      <c r="Q196" s="345">
        <f>IF(AP196="","",AP196)</f>
        <v>0</v>
      </c>
      <c r="R196" s="75" t="str">
        <f t="shared" si="210"/>
        <v/>
      </c>
      <c r="S196" s="345">
        <f>IF(AR196="","",AR196)</f>
        <v>0</v>
      </c>
      <c r="T196" s="75" t="str">
        <f t="shared" si="211"/>
        <v/>
      </c>
      <c r="U196" s="345">
        <f>IF(AT196="","",AT196)</f>
        <v>0</v>
      </c>
      <c r="V196" s="75" t="str">
        <f t="shared" si="212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Frankenpower Nürnberg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Frankenpower Nürnberg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Frankenpower Nürnberg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9</v>
      </c>
      <c r="E202" s="353" t="str">
        <f t="shared" si="236"/>
        <v/>
      </c>
      <c r="F202" s="353">
        <f t="shared" si="236"/>
        <v>6</v>
      </c>
      <c r="G202" s="353" t="str">
        <f t="shared" si="236"/>
        <v/>
      </c>
      <c r="H202" s="353">
        <f t="shared" si="236"/>
        <v>10</v>
      </c>
      <c r="I202" s="353" t="str">
        <f t="shared" si="236"/>
        <v/>
      </c>
      <c r="J202" s="353">
        <f t="shared" si="236"/>
        <v>4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3</v>
      </c>
      <c r="O202" s="353" t="str">
        <f t="shared" si="237"/>
        <v/>
      </c>
      <c r="P202" s="353">
        <f t="shared" si="237"/>
        <v>1</v>
      </c>
      <c r="Q202" s="353" t="str">
        <f t="shared" si="237"/>
        <v/>
      </c>
      <c r="R202" s="353">
        <f t="shared" si="237"/>
        <v>8</v>
      </c>
      <c r="S202" s="353" t="str">
        <f t="shared" si="237"/>
        <v/>
      </c>
      <c r="T202" s="353">
        <f t="shared" si="237"/>
        <v>5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VLOOKUP($AA182,Schlüssel!$A$5:$DG$14,43)</f>
        <v>9</v>
      </c>
      <c r="AD202" s="368"/>
      <c r="AE202" s="367">
        <f>VLOOKUP($AA182,Schlüssel!$A$5:$EK$14,44)</f>
        <v>6</v>
      </c>
      <c r="AF202" s="368"/>
      <c r="AG202" s="367">
        <f>VLOOKUP($AA182,Schlüssel!$A$5:$EK$14,45)</f>
        <v>10</v>
      </c>
      <c r="AH202" s="368"/>
      <c r="AI202" s="367">
        <f>VLOOKUP($AA182,Schlüssel!$A$5:$EK$14,46)</f>
        <v>4</v>
      </c>
      <c r="AJ202" s="368"/>
      <c r="AK202" s="367">
        <f>VLOOKUP($AA182,Schlüssel!$A$5:$EK$14,47)</f>
        <v>2</v>
      </c>
      <c r="AL202" s="368"/>
      <c r="AM202" s="367">
        <f>VLOOKUP($AA182,Schlüssel!$A$5:$EK$14,48)</f>
        <v>3</v>
      </c>
      <c r="AN202" s="368"/>
      <c r="AO202" s="367">
        <f>VLOOKUP($AA182,Schlüssel!$A$5:$EK$14,49)</f>
        <v>1</v>
      </c>
      <c r="AP202" s="368"/>
      <c r="AQ202" s="367">
        <f>VLOOKUP($AA182,Schlüssel!$A$5:$EK$14,50)</f>
        <v>8</v>
      </c>
      <c r="AR202" s="368"/>
      <c r="AS202" s="367">
        <f>VLOOKUP($AA182,Schlüssel!$A$5:$EK$14,51)</f>
        <v>5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>RW Lichtenhof 69 Stein 2</v>
      </c>
      <c r="E203" s="356" t="str">
        <f t="shared" si="236"/>
        <v/>
      </c>
      <c r="F203" s="355" t="str">
        <f t="shared" si="236"/>
        <v>Phönix 03 Lauf</v>
      </c>
      <c r="G203" s="356" t="str">
        <f t="shared" si="236"/>
        <v/>
      </c>
      <c r="H203" s="355" t="str">
        <f t="shared" si="236"/>
        <v>BK München 4</v>
      </c>
      <c r="I203" s="356" t="str">
        <f t="shared" si="236"/>
        <v/>
      </c>
      <c r="J203" s="355" t="str">
        <f t="shared" si="236"/>
        <v>BK München 3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Highroller Rosenheim</v>
      </c>
      <c r="O203" s="356" t="str">
        <f t="shared" si="237"/>
        <v/>
      </c>
      <c r="P203" s="355" t="str">
        <f t="shared" si="237"/>
        <v>Praetoria Regensburg</v>
      </c>
      <c r="Q203" s="356" t="str">
        <f t="shared" si="237"/>
        <v/>
      </c>
      <c r="R203" s="355" t="str">
        <f t="shared" si="237"/>
        <v>EPA München 1</v>
      </c>
      <c r="S203" s="356" t="str">
        <f t="shared" si="237"/>
        <v/>
      </c>
      <c r="T203" s="355" t="str">
        <f t="shared" si="237"/>
        <v xml:space="preserve">Weiß Blau Unterföhring 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>RW Lichtenhof 69 Stein 2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Highroller Rosenheim</v>
      </c>
      <c r="AN203" s="356"/>
      <c r="AO203" s="355" t="str">
        <f>VLOOKUP(AO202,Schlüssel!$A$5:$K$14,2)</f>
        <v>Praetoria Regensburg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 xml:space="preserve">Weiß Blau Unterföhring 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01.02./02.02.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01.02./02.02.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39">IF(AE217=0,"",AE217)</f>
        <v/>
      </c>
      <c r="G217" s="345">
        <f>IF(AF217="","",AF217)</f>
        <v>0</v>
      </c>
      <c r="H217" s="75" t="str">
        <f t="shared" ref="H217:H230" si="240">IF(AG217=0,"",AG217)</f>
        <v/>
      </c>
      <c r="I217" s="345">
        <f>IF(AH217="","",AH217)</f>
        <v>0</v>
      </c>
      <c r="J217" s="75" t="str">
        <f t="shared" ref="J217:J230" si="241">IF(AI217=0,"",AI217)</f>
        <v/>
      </c>
      <c r="K217" s="345">
        <f>IF(AJ217="","",AJ217)</f>
        <v>0</v>
      </c>
      <c r="L217" s="75" t="str">
        <f t="shared" ref="L217:L230" si="242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3">IF(AO217=0,"",AO217)</f>
        <v/>
      </c>
      <c r="Q217" s="345">
        <f>IF(AP217="","",AP217)</f>
        <v>0</v>
      </c>
      <c r="R217" s="75" t="str">
        <f t="shared" ref="R217:R230" si="244">IF(AQ217=0,"",AQ217)</f>
        <v/>
      </c>
      <c r="S217" s="345">
        <f>IF(AR217="","",AR217)</f>
        <v>0</v>
      </c>
      <c r="T217" s="75" t="str">
        <f t="shared" ref="T217:T230" si="245">IF(AS217=0,"",AS217)</f>
        <v/>
      </c>
      <c r="U217" s="345">
        <f>IF(AT217="","",AT217)</f>
        <v>0</v>
      </c>
      <c r="V217" s="75" t="str">
        <f t="shared" ref="V217:V230" si="246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74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 t="str">
        <f t="shared" ref="N218:N230" si="259">IF(AM218=0,"",AM218)</f>
        <v/>
      </c>
      <c r="O218" s="346"/>
      <c r="P218" s="78" t="str">
        <f t="shared" si="243"/>
        <v/>
      </c>
      <c r="Q218" s="346"/>
      <c r="R218" s="78" t="str">
        <f t="shared" si="244"/>
        <v/>
      </c>
      <c r="S218" s="346"/>
      <c r="T218" s="78" t="str">
        <f t="shared" si="245"/>
        <v/>
      </c>
      <c r="U218" s="346"/>
      <c r="V218" s="78" t="str">
        <f t="shared" si="246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EPA München 1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EPA München 1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73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5">
        <f>IF(AD220="","",AD220)</f>
        <v>0</v>
      </c>
      <c r="F220" s="75" t="str">
        <f t="shared" si="239"/>
        <v/>
      </c>
      <c r="G220" s="345">
        <f>IF(AF220="","",AF220)</f>
        <v>0</v>
      </c>
      <c r="H220" s="75" t="str">
        <f t="shared" si="240"/>
        <v/>
      </c>
      <c r="I220" s="345">
        <f>IF(AH220="","",AH220)</f>
        <v>0</v>
      </c>
      <c r="J220" s="75" t="str">
        <f t="shared" si="241"/>
        <v/>
      </c>
      <c r="K220" s="345">
        <f>IF(AJ220="","",AJ220)</f>
        <v>0</v>
      </c>
      <c r="L220" s="75" t="str">
        <f t="shared" si="242"/>
        <v/>
      </c>
      <c r="M220" s="345">
        <f>IF(AL220="","",AL220)</f>
        <v>0</v>
      </c>
      <c r="N220" s="75" t="str">
        <f t="shared" si="259"/>
        <v/>
      </c>
      <c r="O220" s="345">
        <f>IF(AN220="","",AN220)</f>
        <v>0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0</v>
      </c>
      <c r="T220" s="75" t="str">
        <f t="shared" si="245"/>
        <v/>
      </c>
      <c r="U220" s="345">
        <f>IF(AT220="","",AT220)</f>
        <v>0</v>
      </c>
      <c r="V220" s="75" t="str">
        <f t="shared" si="246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EPA München 1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74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6"/>
      <c r="F221" s="78" t="str">
        <f t="shared" si="239"/>
        <v/>
      </c>
      <c r="G221" s="346"/>
      <c r="H221" s="78" t="str">
        <f t="shared" si="240"/>
        <v/>
      </c>
      <c r="I221" s="346"/>
      <c r="J221" s="78" t="str">
        <f t="shared" si="241"/>
        <v/>
      </c>
      <c r="K221" s="346"/>
      <c r="L221" s="78" t="str">
        <f t="shared" si="242"/>
        <v/>
      </c>
      <c r="M221" s="346"/>
      <c r="N221" s="78" t="str">
        <f t="shared" si="259"/>
        <v/>
      </c>
      <c r="O221" s="346"/>
      <c r="P221" s="78" t="str">
        <f t="shared" si="243"/>
        <v/>
      </c>
      <c r="Q221" s="346"/>
      <c r="R221" s="78" t="str">
        <f t="shared" si="244"/>
        <v/>
      </c>
      <c r="S221" s="346"/>
      <c r="T221" s="78" t="str">
        <f t="shared" si="245"/>
        <v/>
      </c>
      <c r="U221" s="346"/>
      <c r="V221" s="78" t="str">
        <f t="shared" si="246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EPA München 1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75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 t="str">
        <f t="shared" si="245"/>
        <v/>
      </c>
      <c r="U222" s="347"/>
      <c r="V222" s="69" t="str">
        <f t="shared" si="246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EPA München 1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73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5">
        <f>IF(AD223="","",AD223)</f>
        <v>0</v>
      </c>
      <c r="F223" s="75" t="str">
        <f t="shared" si="239"/>
        <v/>
      </c>
      <c r="G223" s="345">
        <f>IF(AF223="","",AF223)</f>
        <v>0</v>
      </c>
      <c r="H223" s="75" t="str">
        <f t="shared" si="240"/>
        <v/>
      </c>
      <c r="I223" s="345">
        <f>IF(AH223="","",AH223)</f>
        <v>0</v>
      </c>
      <c r="J223" s="75" t="str">
        <f t="shared" si="241"/>
        <v/>
      </c>
      <c r="K223" s="345">
        <f>IF(AJ223="","",AJ223)</f>
        <v>0</v>
      </c>
      <c r="L223" s="75" t="str">
        <f t="shared" si="242"/>
        <v/>
      </c>
      <c r="M223" s="345">
        <f>IF(AL223="","",AL223)</f>
        <v>0</v>
      </c>
      <c r="N223" s="75" t="str">
        <f t="shared" si="259"/>
        <v/>
      </c>
      <c r="O223" s="345">
        <f>IF(AN223="","",AN223)</f>
        <v>0</v>
      </c>
      <c r="P223" s="75" t="str">
        <f t="shared" si="243"/>
        <v/>
      </c>
      <c r="Q223" s="345">
        <f>IF(AP223="","",AP223)</f>
        <v>0</v>
      </c>
      <c r="R223" s="75" t="str">
        <f t="shared" si="244"/>
        <v/>
      </c>
      <c r="S223" s="345">
        <f>IF(AR223="","",AR223)</f>
        <v>0</v>
      </c>
      <c r="T223" s="75" t="str">
        <f t="shared" si="245"/>
        <v/>
      </c>
      <c r="U223" s="345">
        <f>IF(AT223="","",AT223)</f>
        <v>0</v>
      </c>
      <c r="V223" s="75" t="str">
        <f t="shared" si="246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EPA München 1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EPA München 1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EPA München 1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73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5">
        <f>IF(AD226="","",AD226)</f>
        <v>0</v>
      </c>
      <c r="F226" s="75" t="str">
        <f t="shared" si="239"/>
        <v/>
      </c>
      <c r="G226" s="345">
        <f>IF(AF226="","",AF226)</f>
        <v>0</v>
      </c>
      <c r="H226" s="75" t="str">
        <f t="shared" si="240"/>
        <v/>
      </c>
      <c r="I226" s="345">
        <f>IF(AH226="","",AH226)</f>
        <v>0</v>
      </c>
      <c r="J226" s="75" t="str">
        <f t="shared" si="241"/>
        <v/>
      </c>
      <c r="K226" s="345">
        <f>IF(AJ226="","",AJ226)</f>
        <v>0</v>
      </c>
      <c r="L226" s="75" t="str">
        <f t="shared" si="242"/>
        <v/>
      </c>
      <c r="M226" s="345">
        <f>IF(AL226="","",AL226)</f>
        <v>0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0</v>
      </c>
      <c r="T226" s="75" t="str">
        <f t="shared" si="245"/>
        <v/>
      </c>
      <c r="U226" s="345">
        <f>IF(AT226="","",AT226)</f>
        <v>0</v>
      </c>
      <c r="V226" s="75" t="str">
        <f t="shared" si="246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EPA München 1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 t="str">
        <f t="shared" si="241"/>
        <v/>
      </c>
      <c r="K227" s="346"/>
      <c r="L227" s="78" t="str">
        <f t="shared" si="242"/>
        <v/>
      </c>
      <c r="M227" s="346"/>
      <c r="N227" s="78" t="str">
        <f t="shared" si="259"/>
        <v/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 t="str">
        <f t="shared" si="246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EPA München 1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 t="str">
        <f t="shared" si="243"/>
        <v/>
      </c>
      <c r="Q228" s="347"/>
      <c r="R228" s="69" t="str">
        <f t="shared" si="244"/>
        <v/>
      </c>
      <c r="S228" s="347"/>
      <c r="T228" s="69" t="str">
        <f t="shared" si="245"/>
        <v/>
      </c>
      <c r="U228" s="347"/>
      <c r="V228" s="69" t="str">
        <f t="shared" si="246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EPA München 1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2</v>
      </c>
      <c r="E232" s="353" t="str">
        <f t="shared" si="270"/>
        <v/>
      </c>
      <c r="F232" s="353">
        <f t="shared" si="270"/>
        <v>9</v>
      </c>
      <c r="G232" s="353" t="str">
        <f t="shared" si="270"/>
        <v/>
      </c>
      <c r="H232" s="353">
        <f t="shared" si="270"/>
        <v>1</v>
      </c>
      <c r="I232" s="353" t="str">
        <f t="shared" si="270"/>
        <v/>
      </c>
      <c r="J232" s="353">
        <f t="shared" si="270"/>
        <v>10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5</v>
      </c>
      <c r="O232" s="353" t="str">
        <f t="shared" si="271"/>
        <v/>
      </c>
      <c r="P232" s="353">
        <f t="shared" si="271"/>
        <v>6</v>
      </c>
      <c r="Q232" s="353" t="str">
        <f t="shared" si="271"/>
        <v/>
      </c>
      <c r="R232" s="353">
        <f t="shared" si="271"/>
        <v>7</v>
      </c>
      <c r="S232" s="353" t="str">
        <f t="shared" si="271"/>
        <v/>
      </c>
      <c r="T232" s="353">
        <f t="shared" si="271"/>
        <v>3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VLOOKUP($AA212,Schlüssel!$A$5:$DG$14,43)</f>
        <v>2</v>
      </c>
      <c r="AD232" s="368"/>
      <c r="AE232" s="367">
        <f>VLOOKUP($AA212,Schlüssel!$A$5:$EK$14,44)</f>
        <v>9</v>
      </c>
      <c r="AF232" s="368"/>
      <c r="AG232" s="367">
        <f>VLOOKUP($AA212,Schlüssel!$A$5:$EK$14,45)</f>
        <v>1</v>
      </c>
      <c r="AH232" s="368"/>
      <c r="AI232" s="367">
        <f>VLOOKUP($AA212,Schlüssel!$A$5:$EK$14,46)</f>
        <v>10</v>
      </c>
      <c r="AJ232" s="368"/>
      <c r="AK232" s="367">
        <f>VLOOKUP($AA212,Schlüssel!$A$5:$EK$14,47)</f>
        <v>4</v>
      </c>
      <c r="AL232" s="368"/>
      <c r="AM232" s="367">
        <f>VLOOKUP($AA212,Schlüssel!$A$5:$EK$14,48)</f>
        <v>5</v>
      </c>
      <c r="AN232" s="368"/>
      <c r="AO232" s="367">
        <f>VLOOKUP($AA212,Schlüssel!$A$5:$EK$14,49)</f>
        <v>6</v>
      </c>
      <c r="AP232" s="368"/>
      <c r="AQ232" s="367">
        <f>VLOOKUP($AA212,Schlüssel!$A$5:$EK$14,50)</f>
        <v>7</v>
      </c>
      <c r="AR232" s="368"/>
      <c r="AS232" s="367">
        <f>VLOOKUP($AA212,Schlüssel!$A$5:$EK$14,51)</f>
        <v>3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BK München 2</v>
      </c>
      <c r="E233" s="356" t="str">
        <f t="shared" si="270"/>
        <v/>
      </c>
      <c r="F233" s="355" t="str">
        <f t="shared" si="270"/>
        <v>RW Lichtenhof 69 Stein 2</v>
      </c>
      <c r="G233" s="356" t="str">
        <f t="shared" si="270"/>
        <v/>
      </c>
      <c r="H233" s="355" t="str">
        <f t="shared" si="270"/>
        <v>Praetoria Regensburg</v>
      </c>
      <c r="I233" s="356" t="str">
        <f t="shared" si="270"/>
        <v/>
      </c>
      <c r="J233" s="355" t="str">
        <f t="shared" si="270"/>
        <v>BK München 4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 xml:space="preserve">Weiß Blau Unterföhring </v>
      </c>
      <c r="O233" s="356" t="str">
        <f t="shared" si="271"/>
        <v/>
      </c>
      <c r="P233" s="355" t="str">
        <f t="shared" si="271"/>
        <v>Phönix 03 Lauf</v>
      </c>
      <c r="Q233" s="356" t="str">
        <f t="shared" si="271"/>
        <v/>
      </c>
      <c r="R233" s="355" t="str">
        <f t="shared" si="271"/>
        <v>Frankenpower Nürnberg</v>
      </c>
      <c r="S233" s="356" t="str">
        <f t="shared" si="271"/>
        <v/>
      </c>
      <c r="T233" s="355" t="str">
        <f t="shared" si="271"/>
        <v>Highroller Rosenheim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BK München 2</v>
      </c>
      <c r="AD233" s="356"/>
      <c r="AE233" s="355" t="str">
        <f>VLOOKUP(AE232,Schlüssel!$A$5:$K$14,2)</f>
        <v>RW Lichtenhof 69 Stein 2</v>
      </c>
      <c r="AF233" s="356"/>
      <c r="AG233" s="355" t="str">
        <f>VLOOKUP(AG232,Schlüssel!$A$5:$K$14,2)</f>
        <v>Praetoria Regensburg</v>
      </c>
      <c r="AH233" s="356"/>
      <c r="AI233" s="355" t="str">
        <f>VLOOKUP(AI232,Schlüssel!$A$5:$K$14,2)</f>
        <v>BK München 4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Phönix 03 Lauf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Highroller Rosenheim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01.02./02.02.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01.02./02.02.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3">IF(AE247=0,"",AE247)</f>
        <v/>
      </c>
      <c r="G247" s="345">
        <f>IF(AF247="","",AF247)</f>
        <v>0</v>
      </c>
      <c r="H247" s="75" t="str">
        <f t="shared" ref="H247:H260" si="274">IF(AG247=0,"",AG247)</f>
        <v/>
      </c>
      <c r="I247" s="345">
        <f>IF(AH247="","",AH247)</f>
        <v>0</v>
      </c>
      <c r="J247" s="75" t="str">
        <f t="shared" ref="J247:J260" si="275">IF(AI247=0,"",AI247)</f>
        <v/>
      </c>
      <c r="K247" s="345">
        <f>IF(AJ247="","",AJ247)</f>
        <v>0</v>
      </c>
      <c r="L247" s="75" t="str">
        <f t="shared" ref="L247:L260" si="276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77">IF(AO247=0,"",AO247)</f>
        <v/>
      </c>
      <c r="Q247" s="345">
        <f>IF(AP247="","",AP247)</f>
        <v>0</v>
      </c>
      <c r="R247" s="75" t="str">
        <f t="shared" ref="R247:R260" si="278">IF(AQ247=0,"",AQ247)</f>
        <v/>
      </c>
      <c r="S247" s="345">
        <f>IF(AR247="","",AR247)</f>
        <v>0</v>
      </c>
      <c r="T247" s="75" t="str">
        <f t="shared" ref="T247:T260" si="279">IF(AS247=0,"",AS247)</f>
        <v/>
      </c>
      <c r="U247" s="345">
        <f>IF(AT247="","",AT247)</f>
        <v>0</v>
      </c>
      <c r="V247" s="75" t="str">
        <f t="shared" ref="V247:V260" si="280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RW Lichtenhof 69 Stein 2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RW Lichtenhof 69 Stein 2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73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5">
        <f>IF(AD250="","",AD250)</f>
        <v>0</v>
      </c>
      <c r="F250" s="75" t="str">
        <f t="shared" si="273"/>
        <v/>
      </c>
      <c r="G250" s="345">
        <f>IF(AF250="","",AF250)</f>
        <v>0</v>
      </c>
      <c r="H250" s="75" t="str">
        <f t="shared" si="274"/>
        <v/>
      </c>
      <c r="I250" s="345">
        <f>IF(AH250="","",AH250)</f>
        <v>0</v>
      </c>
      <c r="J250" s="75" t="str">
        <f t="shared" si="275"/>
        <v/>
      </c>
      <c r="K250" s="345">
        <f>IF(AJ250="","",AJ250)</f>
        <v>0</v>
      </c>
      <c r="L250" s="75" t="str">
        <f t="shared" si="276"/>
        <v/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 t="str">
        <f t="shared" si="280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RW Lichtenhof 69 Stein 2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74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6"/>
      <c r="F251" s="78" t="str">
        <f t="shared" si="273"/>
        <v/>
      </c>
      <c r="G251" s="346"/>
      <c r="H251" s="78" t="str">
        <f t="shared" si="274"/>
        <v/>
      </c>
      <c r="I251" s="346"/>
      <c r="J251" s="78" t="str">
        <f t="shared" si="275"/>
        <v/>
      </c>
      <c r="K251" s="346"/>
      <c r="L251" s="78" t="str">
        <f t="shared" si="276"/>
        <v/>
      </c>
      <c r="M251" s="346"/>
      <c r="N251" s="78" t="str">
        <f t="shared" si="293"/>
        <v/>
      </c>
      <c r="O251" s="346"/>
      <c r="P251" s="78" t="str">
        <f t="shared" si="277"/>
        <v/>
      </c>
      <c r="Q251" s="346"/>
      <c r="R251" s="78" t="str">
        <f t="shared" si="278"/>
        <v/>
      </c>
      <c r="S251" s="346"/>
      <c r="T251" s="78" t="str">
        <f t="shared" si="279"/>
        <v/>
      </c>
      <c r="U251" s="346"/>
      <c r="V251" s="78" t="str">
        <f t="shared" si="280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RW Lichtenhof 69 Stein 2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RW Lichtenhof 69 Stein 2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73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5">
        <f>IF(AD253="","",AD253)</f>
        <v>0</v>
      </c>
      <c r="F253" s="75" t="str">
        <f t="shared" si="273"/>
        <v/>
      </c>
      <c r="G253" s="345">
        <f>IF(AF253="","",AF253)</f>
        <v>0</v>
      </c>
      <c r="H253" s="75" t="str">
        <f t="shared" si="274"/>
        <v/>
      </c>
      <c r="I253" s="345">
        <f>IF(AH253="","",AH253)</f>
        <v>0</v>
      </c>
      <c r="J253" s="75" t="str">
        <f t="shared" si="275"/>
        <v/>
      </c>
      <c r="K253" s="345">
        <f>IF(AJ253="","",AJ253)</f>
        <v>0</v>
      </c>
      <c r="L253" s="75" t="str">
        <f t="shared" si="276"/>
        <v/>
      </c>
      <c r="M253" s="345">
        <f>IF(AL253="","",AL253)</f>
        <v>0</v>
      </c>
      <c r="N253" s="75" t="str">
        <f t="shared" si="293"/>
        <v/>
      </c>
      <c r="O253" s="345">
        <f>IF(AN253="","",AN253)</f>
        <v>0</v>
      </c>
      <c r="P253" s="75" t="str">
        <f t="shared" si="277"/>
        <v/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0</v>
      </c>
      <c r="V253" s="75" t="str">
        <f t="shared" si="280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RW Lichtenhof 69 Stein 2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74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 t="str">
        <f t="shared" si="278"/>
        <v/>
      </c>
      <c r="S254" s="346"/>
      <c r="T254" s="78" t="str">
        <f t="shared" si="279"/>
        <v/>
      </c>
      <c r="U254" s="346"/>
      <c r="V254" s="78" t="str">
        <f t="shared" si="280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RW Lichtenhof 69 Stein 2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RW Lichtenhof 69 Stein 2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73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5">
        <f>IF(AD256="","",AD256)</f>
        <v>0</v>
      </c>
      <c r="F256" s="75" t="str">
        <f t="shared" si="273"/>
        <v/>
      </c>
      <c r="G256" s="345">
        <f>IF(AF256="","",AF256)</f>
        <v>0</v>
      </c>
      <c r="H256" s="75" t="str">
        <f t="shared" si="274"/>
        <v/>
      </c>
      <c r="I256" s="345">
        <f>IF(AH256="","",AH256)</f>
        <v>0</v>
      </c>
      <c r="J256" s="75" t="str">
        <f t="shared" si="275"/>
        <v/>
      </c>
      <c r="K256" s="345">
        <f>IF(AJ256="","",AJ256)</f>
        <v>0</v>
      </c>
      <c r="L256" s="75" t="str">
        <f t="shared" si="276"/>
        <v/>
      </c>
      <c r="M256" s="345">
        <f>IF(AL256="","",AL256)</f>
        <v>0</v>
      </c>
      <c r="N256" s="75" t="str">
        <f t="shared" si="293"/>
        <v/>
      </c>
      <c r="O256" s="345">
        <f>IF(AN256="","",AN256)</f>
        <v>0</v>
      </c>
      <c r="P256" s="75" t="str">
        <f t="shared" si="277"/>
        <v/>
      </c>
      <c r="Q256" s="345">
        <f>IF(AP256="","",AP256)</f>
        <v>0</v>
      </c>
      <c r="R256" s="75" t="str">
        <f t="shared" si="278"/>
        <v/>
      </c>
      <c r="S256" s="345">
        <f>IF(AR256="","",AR256)</f>
        <v>0</v>
      </c>
      <c r="T256" s="75" t="str">
        <f t="shared" si="279"/>
        <v/>
      </c>
      <c r="U256" s="345">
        <f>IF(AT256="","",AT256)</f>
        <v>0</v>
      </c>
      <c r="V256" s="75" t="str">
        <f t="shared" si="280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RW Lichtenhof 69 Stein 2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RW Lichtenhof 69 Stein 2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RW Lichtenhof 69 Stein 2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7</v>
      </c>
      <c r="E262" s="353" t="str">
        <f t="shared" si="304"/>
        <v/>
      </c>
      <c r="F262" s="353">
        <f t="shared" si="304"/>
        <v>8</v>
      </c>
      <c r="G262" s="353" t="str">
        <f t="shared" si="304"/>
        <v/>
      </c>
      <c r="H262" s="353">
        <f t="shared" si="304"/>
        <v>4</v>
      </c>
      <c r="I262" s="353" t="str">
        <f t="shared" si="304"/>
        <v/>
      </c>
      <c r="J262" s="353">
        <f t="shared" si="304"/>
        <v>5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10</v>
      </c>
      <c r="O262" s="353" t="str">
        <f t="shared" si="305"/>
        <v/>
      </c>
      <c r="P262" s="353">
        <f t="shared" si="305"/>
        <v>2</v>
      </c>
      <c r="Q262" s="353" t="str">
        <f t="shared" si="305"/>
        <v/>
      </c>
      <c r="R262" s="353">
        <f t="shared" si="305"/>
        <v>1</v>
      </c>
      <c r="S262" s="353" t="str">
        <f t="shared" si="305"/>
        <v/>
      </c>
      <c r="T262" s="353">
        <f t="shared" si="305"/>
        <v>6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VLOOKUP($AA242,Schlüssel!$A$5:$DG$14,43)</f>
        <v>7</v>
      </c>
      <c r="AD262" s="368"/>
      <c r="AE262" s="367">
        <f>VLOOKUP($AA242,Schlüssel!$A$5:$EK$14,44)</f>
        <v>8</v>
      </c>
      <c r="AF262" s="368"/>
      <c r="AG262" s="367">
        <f>VLOOKUP($AA242,Schlüssel!$A$5:$EK$14,45)</f>
        <v>4</v>
      </c>
      <c r="AH262" s="368"/>
      <c r="AI262" s="367">
        <f>VLOOKUP($AA242,Schlüssel!$A$5:$EK$14,46)</f>
        <v>5</v>
      </c>
      <c r="AJ262" s="368"/>
      <c r="AK262" s="367">
        <f>VLOOKUP($AA242,Schlüssel!$A$5:$EK$14,47)</f>
        <v>3</v>
      </c>
      <c r="AL262" s="368"/>
      <c r="AM262" s="367">
        <f>VLOOKUP($AA242,Schlüssel!$A$5:$EK$14,48)</f>
        <v>10</v>
      </c>
      <c r="AN262" s="368"/>
      <c r="AO262" s="367">
        <f>VLOOKUP($AA242,Schlüssel!$A$5:$EK$14,49)</f>
        <v>2</v>
      </c>
      <c r="AP262" s="368"/>
      <c r="AQ262" s="367">
        <f>VLOOKUP($AA242,Schlüssel!$A$5:$EK$14,50)</f>
        <v>1</v>
      </c>
      <c r="AR262" s="368"/>
      <c r="AS262" s="367">
        <f>VLOOKUP($AA242,Schlüssel!$A$5:$EK$14,51)</f>
        <v>6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Frankenpower Nürnberg</v>
      </c>
      <c r="E263" s="356" t="str">
        <f t="shared" si="304"/>
        <v/>
      </c>
      <c r="F263" s="355" t="str">
        <f t="shared" si="304"/>
        <v>EPA München 1</v>
      </c>
      <c r="G263" s="356" t="str">
        <f t="shared" si="304"/>
        <v/>
      </c>
      <c r="H263" s="355" t="str">
        <f t="shared" si="304"/>
        <v>BK München 3</v>
      </c>
      <c r="I263" s="356" t="str">
        <f t="shared" si="304"/>
        <v/>
      </c>
      <c r="J263" s="355" t="str">
        <f t="shared" si="304"/>
        <v xml:space="preserve">Weiß Blau Unterföhring 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>BK München 4</v>
      </c>
      <c r="O263" s="356" t="str">
        <f t="shared" si="305"/>
        <v/>
      </c>
      <c r="P263" s="355" t="str">
        <f t="shared" si="305"/>
        <v>BK München 2</v>
      </c>
      <c r="Q263" s="356" t="str">
        <f t="shared" si="305"/>
        <v/>
      </c>
      <c r="R263" s="355" t="str">
        <f t="shared" si="305"/>
        <v>Praetoria Regensburg</v>
      </c>
      <c r="S263" s="356" t="str">
        <f t="shared" si="305"/>
        <v/>
      </c>
      <c r="T263" s="355" t="str">
        <f t="shared" si="305"/>
        <v>Phönix 03 Lauf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Frankenpower Nürnberg</v>
      </c>
      <c r="AD263" s="356"/>
      <c r="AE263" s="355" t="str">
        <f>VLOOKUP(AE262,Schlüssel!$A$5:$K$14,2)</f>
        <v>EPA München 1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 xml:space="preserve">Weiß Blau Unterföhring 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BK München 2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>Phönix 03 Lauf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01.02./02.02.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01.02./02.02.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07">IF(AE277=0,"",AE277)</f>
        <v/>
      </c>
      <c r="G277" s="345">
        <f>IF(AF277="","",AF277)</f>
        <v>0</v>
      </c>
      <c r="H277" s="75" t="str">
        <f t="shared" ref="H277:H290" si="308">IF(AG277=0,"",AG277)</f>
        <v/>
      </c>
      <c r="I277" s="345">
        <f>IF(AH277="","",AH277)</f>
        <v>0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0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 t="str">
        <f t="shared" ref="V277:V290" si="314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74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6"/>
      <c r="F278" s="78" t="str">
        <f t="shared" si="307"/>
        <v/>
      </c>
      <c r="G278" s="346"/>
      <c r="H278" s="78" t="str">
        <f t="shared" si="308"/>
        <v/>
      </c>
      <c r="I278" s="346"/>
      <c r="J278" s="78" t="str">
        <f t="shared" si="309"/>
        <v/>
      </c>
      <c r="K278" s="346"/>
      <c r="L278" s="78" t="str">
        <f t="shared" si="310"/>
        <v/>
      </c>
      <c r="M278" s="346"/>
      <c r="N278" s="78" t="str">
        <f t="shared" ref="N278:N290" si="327">IF(AM278=0,"",AM278)</f>
        <v/>
      </c>
      <c r="O278" s="346"/>
      <c r="P278" s="78" t="str">
        <f t="shared" si="311"/>
        <v/>
      </c>
      <c r="Q278" s="346"/>
      <c r="R278" s="78" t="str">
        <f t="shared" si="312"/>
        <v/>
      </c>
      <c r="S278" s="346"/>
      <c r="T278" s="78" t="str">
        <f t="shared" si="313"/>
        <v/>
      </c>
      <c r="U278" s="346"/>
      <c r="V278" s="78" t="str">
        <f t="shared" si="314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BK München 4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BK München 4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73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5">
        <f>IF(AD280="","",AD280)</f>
        <v>0</v>
      </c>
      <c r="F280" s="75" t="str">
        <f t="shared" si="307"/>
        <v/>
      </c>
      <c r="G280" s="345">
        <f>IF(AF280="","",AF280)</f>
        <v>0</v>
      </c>
      <c r="H280" s="75" t="str">
        <f t="shared" si="308"/>
        <v/>
      </c>
      <c r="I280" s="345">
        <f>IF(AH280="","",AH280)</f>
        <v>0</v>
      </c>
      <c r="J280" s="75" t="str">
        <f t="shared" si="309"/>
        <v/>
      </c>
      <c r="K280" s="345">
        <f>IF(AJ280="","",AJ280)</f>
        <v>0</v>
      </c>
      <c r="L280" s="75" t="str">
        <f t="shared" si="310"/>
        <v/>
      </c>
      <c r="M280" s="345">
        <f>IF(AL280="","",AL280)</f>
        <v>0</v>
      </c>
      <c r="N280" s="75" t="str">
        <f t="shared" si="327"/>
        <v/>
      </c>
      <c r="O280" s="345">
        <f>IF(AN280="","",AN280)</f>
        <v>0</v>
      </c>
      <c r="P280" s="75" t="str">
        <f t="shared" si="311"/>
        <v/>
      </c>
      <c r="Q280" s="345">
        <f>IF(AP280="","",AP280)</f>
        <v>0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 t="str">
        <f t="shared" si="314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BK München 4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74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 t="str">
        <f t="shared" si="311"/>
        <v/>
      </c>
      <c r="Q281" s="346"/>
      <c r="R281" s="78" t="str">
        <f t="shared" si="312"/>
        <v/>
      </c>
      <c r="S281" s="346"/>
      <c r="T281" s="78" t="str">
        <f t="shared" si="313"/>
        <v/>
      </c>
      <c r="U281" s="346"/>
      <c r="V281" s="78" t="str">
        <f t="shared" si="314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BK München 4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BK München 4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73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5">
        <f>IF(AD283="","",AD283)</f>
        <v>0</v>
      </c>
      <c r="F283" s="75" t="str">
        <f t="shared" si="307"/>
        <v/>
      </c>
      <c r="G283" s="345">
        <f>IF(AF283="","",AF283)</f>
        <v>0</v>
      </c>
      <c r="H283" s="75" t="str">
        <f t="shared" si="308"/>
        <v/>
      </c>
      <c r="I283" s="345">
        <f>IF(AH283="","",AH283)</f>
        <v>0</v>
      </c>
      <c r="J283" s="75" t="str">
        <f t="shared" si="309"/>
        <v/>
      </c>
      <c r="K283" s="345">
        <f>IF(AJ283="","",AJ283)</f>
        <v>0</v>
      </c>
      <c r="L283" s="75" t="str">
        <f t="shared" si="310"/>
        <v/>
      </c>
      <c r="M283" s="345">
        <f>IF(AL283="","",AL283)</f>
        <v>0</v>
      </c>
      <c r="N283" s="75" t="str">
        <f t="shared" si="327"/>
        <v/>
      </c>
      <c r="O283" s="345">
        <f>IF(AN283="","",AN283)</f>
        <v>0</v>
      </c>
      <c r="P283" s="75" t="str">
        <f t="shared" si="311"/>
        <v/>
      </c>
      <c r="Q283" s="345">
        <f>IF(AP283="","",AP283)</f>
        <v>0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0</v>
      </c>
      <c r="V283" s="75" t="str">
        <f t="shared" si="314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BK München 4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74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 t="str">
        <f t="shared" si="309"/>
        <v/>
      </c>
      <c r="K284" s="346"/>
      <c r="L284" s="78" t="str">
        <f t="shared" si="310"/>
        <v/>
      </c>
      <c r="M284" s="346"/>
      <c r="N284" s="78" t="str">
        <f t="shared" si="327"/>
        <v/>
      </c>
      <c r="O284" s="346"/>
      <c r="P284" s="78" t="str">
        <f t="shared" si="311"/>
        <v/>
      </c>
      <c r="Q284" s="346"/>
      <c r="R284" s="78" t="str">
        <f t="shared" si="312"/>
        <v/>
      </c>
      <c r="S284" s="346"/>
      <c r="T284" s="78" t="str">
        <f t="shared" si="313"/>
        <v/>
      </c>
      <c r="U284" s="346"/>
      <c r="V284" s="78" t="str">
        <f t="shared" si="314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BK München 4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BK München 4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73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5">
        <f>IF(AD286="","",AD286)</f>
        <v>0</v>
      </c>
      <c r="F286" s="75" t="str">
        <f t="shared" si="307"/>
        <v/>
      </c>
      <c r="G286" s="345">
        <f>IF(AF286="","",AF286)</f>
        <v>0</v>
      </c>
      <c r="H286" s="75" t="str">
        <f t="shared" si="308"/>
        <v/>
      </c>
      <c r="I286" s="345">
        <f>IF(AH286="","",AH286)</f>
        <v>0</v>
      </c>
      <c r="J286" s="75" t="str">
        <f t="shared" si="309"/>
        <v/>
      </c>
      <c r="K286" s="345">
        <f>IF(AJ286="","",AJ286)</f>
        <v>0</v>
      </c>
      <c r="L286" s="75" t="str">
        <f t="shared" si="310"/>
        <v/>
      </c>
      <c r="M286" s="345">
        <f>IF(AL286="","",AL286)</f>
        <v>0</v>
      </c>
      <c r="N286" s="75" t="str">
        <f t="shared" si="327"/>
        <v/>
      </c>
      <c r="O286" s="345">
        <f>IF(AN286="","",AN286)</f>
        <v>0</v>
      </c>
      <c r="P286" s="75" t="str">
        <f t="shared" si="311"/>
        <v/>
      </c>
      <c r="Q286" s="345">
        <f>IF(AP286="","",AP286)</f>
        <v>0</v>
      </c>
      <c r="R286" s="75" t="str">
        <f t="shared" si="312"/>
        <v/>
      </c>
      <c r="S286" s="345">
        <f>IF(AR286="","",AR286)</f>
        <v>0</v>
      </c>
      <c r="T286" s="75" t="str">
        <f t="shared" si="313"/>
        <v/>
      </c>
      <c r="U286" s="345">
        <f>IF(AT286="","",AT286)</f>
        <v>0</v>
      </c>
      <c r="V286" s="75" t="str">
        <f t="shared" si="314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BK München 4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BK München 4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3</v>
      </c>
      <c r="E292" s="353" t="str">
        <f t="shared" si="338"/>
        <v/>
      </c>
      <c r="F292" s="353">
        <f t="shared" si="338"/>
        <v>2</v>
      </c>
      <c r="G292" s="353" t="str">
        <f t="shared" si="338"/>
        <v/>
      </c>
      <c r="H292" s="353">
        <f t="shared" si="338"/>
        <v>7</v>
      </c>
      <c r="I292" s="353" t="str">
        <f t="shared" si="338"/>
        <v/>
      </c>
      <c r="J292" s="353">
        <f t="shared" si="338"/>
        <v>8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9</v>
      </c>
      <c r="O292" s="353" t="str">
        <f t="shared" si="339"/>
        <v/>
      </c>
      <c r="P292" s="353">
        <f t="shared" si="339"/>
        <v>4</v>
      </c>
      <c r="Q292" s="353" t="str">
        <f t="shared" si="339"/>
        <v/>
      </c>
      <c r="R292" s="353">
        <f t="shared" si="339"/>
        <v>6</v>
      </c>
      <c r="S292" s="353" t="str">
        <f t="shared" si="339"/>
        <v/>
      </c>
      <c r="T292" s="353">
        <f t="shared" si="339"/>
        <v>1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VLOOKUP($AA272,Schlüssel!$A$5:$DG$14,43)</f>
        <v>3</v>
      </c>
      <c r="AD292" s="368"/>
      <c r="AE292" s="367">
        <f>VLOOKUP($AA272,Schlüssel!$A$5:$EK$14,44)</f>
        <v>2</v>
      </c>
      <c r="AF292" s="368"/>
      <c r="AG292" s="367">
        <f>VLOOKUP($AA272,Schlüssel!$A$5:$EK$14,45)</f>
        <v>7</v>
      </c>
      <c r="AH292" s="368"/>
      <c r="AI292" s="367">
        <f>VLOOKUP($AA272,Schlüssel!$A$5:$EK$14,46)</f>
        <v>8</v>
      </c>
      <c r="AJ292" s="368"/>
      <c r="AK292" s="367">
        <f>VLOOKUP($AA272,Schlüssel!$A$5:$EK$14,47)</f>
        <v>5</v>
      </c>
      <c r="AL292" s="368"/>
      <c r="AM292" s="367">
        <f>VLOOKUP($AA272,Schlüssel!$A$5:$EK$14,48)</f>
        <v>9</v>
      </c>
      <c r="AN292" s="368"/>
      <c r="AO292" s="367">
        <f>VLOOKUP($AA272,Schlüssel!$A$5:$EK$14,49)</f>
        <v>4</v>
      </c>
      <c r="AP292" s="368"/>
      <c r="AQ292" s="367">
        <f>VLOOKUP($AA272,Schlüssel!$A$5:$EK$14,50)</f>
        <v>6</v>
      </c>
      <c r="AR292" s="368"/>
      <c r="AS292" s="367">
        <f>VLOOKUP($AA272,Schlüssel!$A$5:$EK$14,51)</f>
        <v>1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Highroller Rosenheim</v>
      </c>
      <c r="E293" s="356" t="str">
        <f t="shared" si="338"/>
        <v/>
      </c>
      <c r="F293" s="355" t="str">
        <f t="shared" si="338"/>
        <v>BK München 2</v>
      </c>
      <c r="G293" s="356" t="str">
        <f t="shared" si="338"/>
        <v/>
      </c>
      <c r="H293" s="355" t="str">
        <f t="shared" si="338"/>
        <v>Frankenpower Nürnberg</v>
      </c>
      <c r="I293" s="356" t="str">
        <f t="shared" si="338"/>
        <v/>
      </c>
      <c r="J293" s="355" t="str">
        <f t="shared" si="338"/>
        <v>EPA München 1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RW Lichtenhof 69 Stein 2</v>
      </c>
      <c r="O293" s="356" t="str">
        <f t="shared" si="339"/>
        <v/>
      </c>
      <c r="P293" s="355" t="str">
        <f t="shared" si="339"/>
        <v>BK München 3</v>
      </c>
      <c r="Q293" s="356" t="str">
        <f t="shared" si="339"/>
        <v/>
      </c>
      <c r="R293" s="355" t="str">
        <f t="shared" si="339"/>
        <v>Phönix 03 Lauf</v>
      </c>
      <c r="S293" s="356" t="str">
        <f t="shared" si="339"/>
        <v/>
      </c>
      <c r="T293" s="355" t="str">
        <f t="shared" si="339"/>
        <v>Praetoria Regensburg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Highroller Rosenheim</v>
      </c>
      <c r="AD293" s="356"/>
      <c r="AE293" s="355" t="str">
        <f>VLOOKUP(AE292,Schlüssel!$A$5:$K$14,2)</f>
        <v>BK München 2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EPA München 1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3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Praetoria Regensburg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8" t="s">
        <v>2020</v>
      </c>
      <c r="B18" s="288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89" t="s">
        <v>2021</v>
      </c>
      <c r="B20" s="289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+Erfassung3!AE2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Praetoria Regensburg</v>
      </c>
      <c r="C7" s="129">
        <f>INDEX(Erfassung3!AC:AC,MATCH($A7,Erfassung3!$BR:$BR,0)-1)</f>
        <v>0</v>
      </c>
      <c r="D7" s="130">
        <f>INDEX(Erfassung3!AD:AD,MATCH($A7,Erfassung3!$BR:$BR,0))</f>
        <v>0</v>
      </c>
      <c r="E7" s="129">
        <f>INDEX(Erfassung3!AE:AE,MATCH($A7,Erfassung3!$BR:$BR,0)-1)</f>
        <v>0</v>
      </c>
      <c r="F7" s="130">
        <f>INDEX(Erfassung3!AF:AF,MATCH($A7,Erfassung3!$BR:$BR,0))</f>
        <v>0</v>
      </c>
      <c r="G7" s="129">
        <f>INDEX(Erfassung3!AG:AG,MATCH($A7,Erfassung3!$BR:$BR,0)-1)</f>
        <v>0</v>
      </c>
      <c r="H7" s="130">
        <f>INDEX(Erfassung3!AH:AH,MATCH($A7,Erfassung3!$BR:$BR,0))</f>
        <v>0</v>
      </c>
      <c r="I7" s="129">
        <f>INDEX(Erfassung3!AI:AI,MATCH($A7,Erfassung3!$BR:$BR,0)-1)</f>
        <v>0</v>
      </c>
      <c r="J7" s="130">
        <f>INDEX(Erfassung3!AJ:AJ,MATCH($A7,Erfassung3!$BR:$BR,0))</f>
        <v>0</v>
      </c>
      <c r="K7" s="129">
        <f>INDEX(Erfassung3!AK:AK,MATCH($A7,Erfassung3!$BR:$BR,0)-1)</f>
        <v>0</v>
      </c>
      <c r="L7" s="130">
        <f>INDEX(Erfassung3!AL:AL,MATCH($A7,Erfassung3!$BR:$BR,0))</f>
        <v>0</v>
      </c>
      <c r="M7" s="129">
        <f>INDEX(Erfassung3!AM:AM,MATCH($A7,Erfassung3!$BR:$BR,0)-1)</f>
        <v>0</v>
      </c>
      <c r="N7" s="130">
        <f>INDEX(Erfassung3!AN:AN,MATCH($A7,Erfassung3!$BR:$BR,0))</f>
        <v>0</v>
      </c>
      <c r="O7" s="129">
        <f>INDEX(Erfassung3!AO:AO,MATCH($A7,Erfassung3!$BR:$BR,0)-1)</f>
        <v>0</v>
      </c>
      <c r="P7" s="130">
        <f>INDEX(Erfassung3!AP:AP,MATCH($A7,Erfassung3!$BR:$BR,0))</f>
        <v>0</v>
      </c>
      <c r="Q7" s="129">
        <f>INDEX(Erfassung3!AQ:AQ,MATCH($A7,Erfassung3!$BR:$BR,0)-1)</f>
        <v>0</v>
      </c>
      <c r="R7" s="130">
        <f>INDEX(Erfassung3!AR:AR,MATCH($A7,Erfassung3!$BR:$BR,0))</f>
        <v>0</v>
      </c>
      <c r="S7" s="129">
        <f>INDEX(Erfassung3!AS:AS,MATCH($A7,Erfassung3!$BR:$BR,0)-1)</f>
        <v>0</v>
      </c>
      <c r="T7" s="130">
        <f>INDEX(Erfassung3!AT:AT,MATCH($A7,Erfassung3!$BR:$BR,0))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IFERROR(U7/INDEX(Erfassung3!BF:BF,MATCH(A7,Erfassung3!BR:BR,0)),0)</f>
        <v>0</v>
      </c>
      <c r="X7" s="25"/>
      <c r="AA7" s="225">
        <f>INDEX(TabGes2!G:G,MATCH($B7,TabGes2!$B:$B,0))+U7</f>
        <v>12758</v>
      </c>
      <c r="AB7" s="225">
        <f>INDEX(TabGes2!H:H,MATCH($B7,TabGes2!$B:$B,0))+V7</f>
        <v>60.5</v>
      </c>
      <c r="AC7" s="215">
        <f>+AB7+AA7/1000000000</f>
        <v>60.500012757999997</v>
      </c>
      <c r="AD7" s="215" t="e">
        <f>RANK(AC7,AC:AC)</f>
        <v>#N/A</v>
      </c>
      <c r="AE7" s="215">
        <f>INDEX(Tabelle2!AE:AE,MATCH(B7,Tabelle2!B:B,0))+SUMIF(Erfassung3!BU:BU,B7,Erfassung3!BF:BF)</f>
        <v>72</v>
      </c>
    </row>
    <row r="8" spans="1:31" ht="42" customHeight="1" thickBot="1" x14ac:dyDescent="0.3">
      <c r="A8" s="223">
        <v>2</v>
      </c>
      <c r="B8" s="128" t="e">
        <f>INDEX(Erfassung3!$AA:$AA,MATCH($A8,Erfassung3!$BR:$BR,0)-17)</f>
        <v>#N/A</v>
      </c>
      <c r="C8" s="129" t="e">
        <f>INDEX(Erfassung3!AC:AC,MATCH($A8,Erfassung3!$BR:$BR,0)-1)</f>
        <v>#N/A</v>
      </c>
      <c r="D8" s="130" t="e">
        <f>INDEX(Erfassung3!AD:AD,MATCH($A8,Erfassung3!$BR:$BR,0))</f>
        <v>#N/A</v>
      </c>
      <c r="E8" s="129" t="e">
        <f>INDEX(Erfassung3!AE:AE,MATCH($A8,Erfassung3!$BR:$BR,0)-1)</f>
        <v>#N/A</v>
      </c>
      <c r="F8" s="130" t="e">
        <f>INDEX(Erfassung3!AF:AF,MATCH($A8,Erfassung3!$BR:$BR,0))</f>
        <v>#N/A</v>
      </c>
      <c r="G8" s="129" t="e">
        <f>INDEX(Erfassung3!AG:AG,MATCH($A8,Erfassung3!$BR:$BR,0)-1)</f>
        <v>#N/A</v>
      </c>
      <c r="H8" s="130" t="e">
        <f>INDEX(Erfassung3!AH:AH,MATCH($A8,Erfassung3!$BR:$BR,0))</f>
        <v>#N/A</v>
      </c>
      <c r="I8" s="129" t="e">
        <f>INDEX(Erfassung3!AI:AI,MATCH($A8,Erfassung3!$BR:$BR,0)-1)</f>
        <v>#N/A</v>
      </c>
      <c r="J8" s="130" t="e">
        <f>INDEX(Erfassung3!AJ:AJ,MATCH($A8,Erfassung3!$BR:$BR,0))</f>
        <v>#N/A</v>
      </c>
      <c r="K8" s="129" t="e">
        <f>INDEX(Erfassung3!AK:AK,MATCH($A8,Erfassung3!$BR:$BR,0)-1)</f>
        <v>#N/A</v>
      </c>
      <c r="L8" s="130" t="e">
        <f>INDEX(Erfassung3!AL:AL,MATCH($A8,Erfassung3!$BR:$BR,0))</f>
        <v>#N/A</v>
      </c>
      <c r="M8" s="129" t="e">
        <f>INDEX(Erfassung3!AM:AM,MATCH($A8,Erfassung3!$BR:$BR,0)-1)</f>
        <v>#N/A</v>
      </c>
      <c r="N8" s="130" t="e">
        <f>INDEX(Erfassung3!AN:AN,MATCH($A8,Erfassung3!$BR:$BR,0))</f>
        <v>#N/A</v>
      </c>
      <c r="O8" s="129" t="e">
        <f>INDEX(Erfassung3!AO:AO,MATCH($A8,Erfassung3!$BR:$BR,0)-1)</f>
        <v>#N/A</v>
      </c>
      <c r="P8" s="130" t="e">
        <f>INDEX(Erfassung3!AP:AP,MATCH($A8,Erfassung3!$BR:$BR,0))</f>
        <v>#N/A</v>
      </c>
      <c r="Q8" s="129" t="e">
        <f>INDEX(Erfassung3!AQ:AQ,MATCH($A8,Erfassung3!$BR:$BR,0)-1)</f>
        <v>#N/A</v>
      </c>
      <c r="R8" s="130" t="e">
        <f>INDEX(Erfassung3!AR:AR,MATCH($A8,Erfassung3!$BR:$BR,0))</f>
        <v>#N/A</v>
      </c>
      <c r="S8" s="129" t="e">
        <f>INDEX(Erfassung3!AS:AS,MATCH($A8,Erfassung3!$BR:$BR,0)-1)</f>
        <v>#N/A</v>
      </c>
      <c r="T8" s="130" t="e">
        <f>INDEX(Erfassung3!AT:AT,MATCH($A8,Erfassung3!$BR:$BR,0))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IFERROR(U8/INDEX(Erfassung3!BF:BF,MATCH(A8,Erfassung3!BR:BR,0)),0)</f>
        <v>0</v>
      </c>
      <c r="X8" s="25"/>
      <c r="AA8" s="225" t="e">
        <f>INDEX(TabGes2!G:G,MATCH($B8,TabGes2!$B:$B,0))+U8</f>
        <v>#N/A</v>
      </c>
      <c r="AB8" s="225" t="e">
        <f>INDEX(TabGes2!H:H,MATCH($B8,TabGes2!$B:$B,0))+V8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INDEX(Tabelle2!AE:AE,MATCH(B8,Tabelle2!B:B,0))+SUMIF(Erfassung3!BU:BU,B8,Erfassung3!BF:BF)</f>
        <v>#N/A</v>
      </c>
    </row>
    <row r="9" spans="1:31" ht="42" customHeight="1" thickBot="1" x14ac:dyDescent="0.3">
      <c r="A9" s="223">
        <v>3</v>
      </c>
      <c r="B9" s="128" t="e">
        <f>INDEX(Erfassung3!$AA:$AA,MATCH($A9,Erfassung3!$BR:$BR,0)-17)</f>
        <v>#N/A</v>
      </c>
      <c r="C9" s="129" t="e">
        <f>INDEX(Erfassung3!AC:AC,MATCH($A9,Erfassung3!$BR:$BR,0)-1)</f>
        <v>#N/A</v>
      </c>
      <c r="D9" s="130" t="e">
        <f>INDEX(Erfassung3!AD:AD,MATCH($A9,Erfassung3!$BR:$BR,0))</f>
        <v>#N/A</v>
      </c>
      <c r="E9" s="129" t="e">
        <f>INDEX(Erfassung3!AE:AE,MATCH($A9,Erfassung3!$BR:$BR,0)-1)</f>
        <v>#N/A</v>
      </c>
      <c r="F9" s="130" t="e">
        <f>INDEX(Erfassung3!AF:AF,MATCH($A9,Erfassung3!$BR:$BR,0))</f>
        <v>#N/A</v>
      </c>
      <c r="G9" s="129" t="e">
        <f>INDEX(Erfassung3!AG:AG,MATCH($A9,Erfassung3!$BR:$BR,0)-1)</f>
        <v>#N/A</v>
      </c>
      <c r="H9" s="130" t="e">
        <f>INDEX(Erfassung3!AH:AH,MATCH($A9,Erfassung3!$BR:$BR,0))</f>
        <v>#N/A</v>
      </c>
      <c r="I9" s="129" t="e">
        <f>INDEX(Erfassung3!AI:AI,MATCH($A9,Erfassung3!$BR:$BR,0)-1)</f>
        <v>#N/A</v>
      </c>
      <c r="J9" s="130" t="e">
        <f>INDEX(Erfassung3!AJ:AJ,MATCH($A9,Erfassung3!$BR:$BR,0))</f>
        <v>#N/A</v>
      </c>
      <c r="K9" s="129" t="e">
        <f>INDEX(Erfassung3!AK:AK,MATCH($A9,Erfassung3!$BR:$BR,0)-1)</f>
        <v>#N/A</v>
      </c>
      <c r="L9" s="130" t="e">
        <f>INDEX(Erfassung3!AL:AL,MATCH($A9,Erfassung3!$BR:$BR,0))</f>
        <v>#N/A</v>
      </c>
      <c r="M9" s="129" t="e">
        <f>INDEX(Erfassung3!AM:AM,MATCH($A9,Erfassung3!$BR:$BR,0)-1)</f>
        <v>#N/A</v>
      </c>
      <c r="N9" s="130" t="e">
        <f>INDEX(Erfassung3!AN:AN,MATCH($A9,Erfassung3!$BR:$BR,0))</f>
        <v>#N/A</v>
      </c>
      <c r="O9" s="129" t="e">
        <f>INDEX(Erfassung3!AO:AO,MATCH($A9,Erfassung3!$BR:$BR,0)-1)</f>
        <v>#N/A</v>
      </c>
      <c r="P9" s="130" t="e">
        <f>INDEX(Erfassung3!AP:AP,MATCH($A9,Erfassung3!$BR:$BR,0))</f>
        <v>#N/A</v>
      </c>
      <c r="Q9" s="129" t="e">
        <f>INDEX(Erfassung3!AQ:AQ,MATCH($A9,Erfassung3!$BR:$BR,0)-1)</f>
        <v>#N/A</v>
      </c>
      <c r="R9" s="130" t="e">
        <f>INDEX(Erfassung3!AR:AR,MATCH($A9,Erfassung3!$BR:$BR,0))</f>
        <v>#N/A</v>
      </c>
      <c r="S9" s="129" t="e">
        <f>INDEX(Erfassung3!AS:AS,MATCH($A9,Erfassung3!$BR:$BR,0)-1)</f>
        <v>#N/A</v>
      </c>
      <c r="T9" s="130" t="e">
        <f>INDEX(Erfassung3!AT:AT,MATCH($A9,Erfassung3!$BR:$BR,0))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IFERROR(U9/INDEX(Erfassung3!BF:BF,MATCH(A9,Erfassung3!BR:BR,0)),0)</f>
        <v>0</v>
      </c>
      <c r="X9" s="25"/>
      <c r="AA9" s="225" t="e">
        <f>INDEX(TabGes2!G:G,MATCH($B9,TabGes2!$B:$B,0))+U9</f>
        <v>#N/A</v>
      </c>
      <c r="AB9" s="225" t="e">
        <f>INDEX(TabGes2!H:H,MATCH($B9,TabGes2!$B:$B,0))+V9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INDEX(Tabelle2!AE:AE,MATCH(B9,Tabelle2!B:B,0))+SUMIF(Erfassung3!BU:BU,B9,Erfassung3!BF:BF)</f>
        <v>#N/A</v>
      </c>
    </row>
    <row r="10" spans="1:31" ht="42" customHeight="1" thickBot="1" x14ac:dyDescent="0.3">
      <c r="A10" s="223">
        <v>4</v>
      </c>
      <c r="B10" s="128" t="e">
        <f>INDEX(Erfassung3!$AA:$AA,MATCH($A10,Erfassung3!$BR:$BR,0)-17)</f>
        <v>#N/A</v>
      </c>
      <c r="C10" s="129" t="e">
        <f>INDEX(Erfassung3!AC:AC,MATCH($A10,Erfassung3!$BR:$BR,0)-1)</f>
        <v>#N/A</v>
      </c>
      <c r="D10" s="130" t="e">
        <f>INDEX(Erfassung3!AD:AD,MATCH($A10,Erfassung3!$BR:$BR,0))</f>
        <v>#N/A</v>
      </c>
      <c r="E10" s="129" t="e">
        <f>INDEX(Erfassung3!AE:AE,MATCH($A10,Erfassung3!$BR:$BR,0)-1)</f>
        <v>#N/A</v>
      </c>
      <c r="F10" s="130" t="e">
        <f>INDEX(Erfassung3!AF:AF,MATCH($A10,Erfassung3!$BR:$BR,0))</f>
        <v>#N/A</v>
      </c>
      <c r="G10" s="129" t="e">
        <f>INDEX(Erfassung3!AG:AG,MATCH($A10,Erfassung3!$BR:$BR,0)-1)</f>
        <v>#N/A</v>
      </c>
      <c r="H10" s="130" t="e">
        <f>INDEX(Erfassung3!AH:AH,MATCH($A10,Erfassung3!$BR:$BR,0))</f>
        <v>#N/A</v>
      </c>
      <c r="I10" s="129" t="e">
        <f>INDEX(Erfassung3!AI:AI,MATCH($A10,Erfassung3!$BR:$BR,0)-1)</f>
        <v>#N/A</v>
      </c>
      <c r="J10" s="130" t="e">
        <f>INDEX(Erfassung3!AJ:AJ,MATCH($A10,Erfassung3!$BR:$BR,0))</f>
        <v>#N/A</v>
      </c>
      <c r="K10" s="129" t="e">
        <f>INDEX(Erfassung3!AK:AK,MATCH($A10,Erfassung3!$BR:$BR,0)-1)</f>
        <v>#N/A</v>
      </c>
      <c r="L10" s="130" t="e">
        <f>INDEX(Erfassung3!AL:AL,MATCH($A10,Erfassung3!$BR:$BR,0))</f>
        <v>#N/A</v>
      </c>
      <c r="M10" s="129" t="e">
        <f>INDEX(Erfassung3!AM:AM,MATCH($A10,Erfassung3!$BR:$BR,0)-1)</f>
        <v>#N/A</v>
      </c>
      <c r="N10" s="130" t="e">
        <f>INDEX(Erfassung3!AN:AN,MATCH($A10,Erfassung3!$BR:$BR,0))</f>
        <v>#N/A</v>
      </c>
      <c r="O10" s="129" t="e">
        <f>INDEX(Erfassung3!AO:AO,MATCH($A10,Erfassung3!$BR:$BR,0)-1)</f>
        <v>#N/A</v>
      </c>
      <c r="P10" s="130" t="e">
        <f>INDEX(Erfassung3!AP:AP,MATCH($A10,Erfassung3!$BR:$BR,0))</f>
        <v>#N/A</v>
      </c>
      <c r="Q10" s="129" t="e">
        <f>INDEX(Erfassung3!AQ:AQ,MATCH($A10,Erfassung3!$BR:$BR,0)-1)</f>
        <v>#N/A</v>
      </c>
      <c r="R10" s="130" t="e">
        <f>INDEX(Erfassung3!AR:AR,MATCH($A10,Erfassung3!$BR:$BR,0))</f>
        <v>#N/A</v>
      </c>
      <c r="S10" s="129" t="e">
        <f>INDEX(Erfassung3!AS:AS,MATCH($A10,Erfassung3!$BR:$BR,0)-1)</f>
        <v>#N/A</v>
      </c>
      <c r="T10" s="130" t="e">
        <f>INDEX(Erfassung3!AT:AT,MATCH($A10,Erfassung3!$BR:$BR,0))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IFERROR(U10/INDEX(Erfassung3!BF:BF,MATCH(A10,Erfassung3!BR:BR,0)),0)</f>
        <v>0</v>
      </c>
      <c r="X10" s="25"/>
      <c r="AA10" s="225" t="e">
        <f>INDEX(TabGes2!G:G,MATCH($B10,TabGes2!$B:$B,0))+U10</f>
        <v>#N/A</v>
      </c>
      <c r="AB10" s="225" t="e">
        <f>INDEX(TabGes2!H:H,MATCH($B10,TabGes2!$B:$B,0))+V10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INDEX(Tabelle2!AE:AE,MATCH(B10,Tabelle2!B:B,0))+SUMIF(Erfassung3!BU:BU,B10,Erfassung3!BF:BF)</f>
        <v>#N/A</v>
      </c>
    </row>
    <row r="11" spans="1:31" ht="42" customHeight="1" thickBot="1" x14ac:dyDescent="0.3">
      <c r="A11" s="223">
        <v>5</v>
      </c>
      <c r="B11" s="128" t="e">
        <f>INDEX(Erfassung3!$AA:$AA,MATCH($A11,Erfassung3!$BR:$BR,0)-17)</f>
        <v>#N/A</v>
      </c>
      <c r="C11" s="129" t="e">
        <f>INDEX(Erfassung3!AC:AC,MATCH($A11,Erfassung3!$BR:$BR,0)-1)</f>
        <v>#N/A</v>
      </c>
      <c r="D11" s="130" t="e">
        <f>INDEX(Erfassung3!AD:AD,MATCH($A11,Erfassung3!$BR:$BR,0))</f>
        <v>#N/A</v>
      </c>
      <c r="E11" s="129" t="e">
        <f>INDEX(Erfassung3!AE:AE,MATCH($A11,Erfassung3!$BR:$BR,0)-1)</f>
        <v>#N/A</v>
      </c>
      <c r="F11" s="130" t="e">
        <f>INDEX(Erfassung3!AF:AF,MATCH($A11,Erfassung3!$BR:$BR,0))</f>
        <v>#N/A</v>
      </c>
      <c r="G11" s="129" t="e">
        <f>INDEX(Erfassung3!AG:AG,MATCH($A11,Erfassung3!$BR:$BR,0)-1)</f>
        <v>#N/A</v>
      </c>
      <c r="H11" s="130" t="e">
        <f>INDEX(Erfassung3!AH:AH,MATCH($A11,Erfassung3!$BR:$BR,0))</f>
        <v>#N/A</v>
      </c>
      <c r="I11" s="129" t="e">
        <f>INDEX(Erfassung3!AI:AI,MATCH($A11,Erfassung3!$BR:$BR,0)-1)</f>
        <v>#N/A</v>
      </c>
      <c r="J11" s="130" t="e">
        <f>INDEX(Erfassung3!AJ:AJ,MATCH($A11,Erfassung3!$BR:$BR,0))</f>
        <v>#N/A</v>
      </c>
      <c r="K11" s="129" t="e">
        <f>INDEX(Erfassung3!AK:AK,MATCH($A11,Erfassung3!$BR:$BR,0)-1)</f>
        <v>#N/A</v>
      </c>
      <c r="L11" s="130" t="e">
        <f>INDEX(Erfassung3!AL:AL,MATCH($A11,Erfassung3!$BR:$BR,0))</f>
        <v>#N/A</v>
      </c>
      <c r="M11" s="129" t="e">
        <f>INDEX(Erfassung3!AM:AM,MATCH($A11,Erfassung3!$BR:$BR,0)-1)</f>
        <v>#N/A</v>
      </c>
      <c r="N11" s="130" t="e">
        <f>INDEX(Erfassung3!AN:AN,MATCH($A11,Erfassung3!$BR:$BR,0))</f>
        <v>#N/A</v>
      </c>
      <c r="O11" s="129" t="e">
        <f>INDEX(Erfassung3!AO:AO,MATCH($A11,Erfassung3!$BR:$BR,0)-1)</f>
        <v>#N/A</v>
      </c>
      <c r="P11" s="130" t="e">
        <f>INDEX(Erfassung3!AP:AP,MATCH($A11,Erfassung3!$BR:$BR,0))</f>
        <v>#N/A</v>
      </c>
      <c r="Q11" s="129" t="e">
        <f>INDEX(Erfassung3!AQ:AQ,MATCH($A11,Erfassung3!$BR:$BR,0)-1)</f>
        <v>#N/A</v>
      </c>
      <c r="R11" s="130" t="e">
        <f>INDEX(Erfassung3!AR:AR,MATCH($A11,Erfassung3!$BR:$BR,0))</f>
        <v>#N/A</v>
      </c>
      <c r="S11" s="129" t="e">
        <f>INDEX(Erfassung3!AS:AS,MATCH($A11,Erfassung3!$BR:$BR,0)-1)</f>
        <v>#N/A</v>
      </c>
      <c r="T11" s="130" t="e">
        <f>INDEX(Erfassung3!AT:AT,MATCH($A11,Erfassung3!$BR:$BR,0))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IFERROR(U11/INDEX(Erfassung3!BF:BF,MATCH(A11,Erfassung3!BR:BR,0)),0)</f>
        <v>0</v>
      </c>
      <c r="X11" s="25"/>
      <c r="AA11" s="225" t="e">
        <f>INDEX(TabGes2!G:G,MATCH($B11,TabGes2!$B:$B,0))+U11</f>
        <v>#N/A</v>
      </c>
      <c r="AB11" s="225" t="e">
        <f>INDEX(TabGes2!H:H,MATCH($B11,TabGes2!$B:$B,0))+V11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INDEX(Tabelle2!AE:AE,MATCH(B11,Tabelle2!B:B,0))+SUMIF(Erfassung3!BU:BU,B11,Erfassung3!BF:BF)</f>
        <v>#N/A</v>
      </c>
    </row>
    <row r="12" spans="1:31" ht="42" customHeight="1" thickBot="1" x14ac:dyDescent="0.3">
      <c r="A12" s="223">
        <v>6</v>
      </c>
      <c r="B12" s="128" t="e">
        <f>INDEX(Erfassung3!$AA:$AA,MATCH($A12,Erfassung3!$BR:$BR,0)-17)</f>
        <v>#N/A</v>
      </c>
      <c r="C12" s="129" t="e">
        <f>INDEX(Erfassung3!AC:AC,MATCH($A12,Erfassung3!$BR:$BR,0)-1)</f>
        <v>#N/A</v>
      </c>
      <c r="D12" s="130" t="e">
        <f>INDEX(Erfassung3!AD:AD,MATCH($A12,Erfassung3!$BR:$BR,0))</f>
        <v>#N/A</v>
      </c>
      <c r="E12" s="129" t="e">
        <f>INDEX(Erfassung3!AE:AE,MATCH($A12,Erfassung3!$BR:$BR,0)-1)</f>
        <v>#N/A</v>
      </c>
      <c r="F12" s="130" t="e">
        <f>INDEX(Erfassung3!AF:AF,MATCH($A12,Erfassung3!$BR:$BR,0))</f>
        <v>#N/A</v>
      </c>
      <c r="G12" s="129" t="e">
        <f>INDEX(Erfassung3!AG:AG,MATCH($A12,Erfassung3!$BR:$BR,0)-1)</f>
        <v>#N/A</v>
      </c>
      <c r="H12" s="130" t="e">
        <f>INDEX(Erfassung3!AH:AH,MATCH($A12,Erfassung3!$BR:$BR,0))</f>
        <v>#N/A</v>
      </c>
      <c r="I12" s="129" t="e">
        <f>INDEX(Erfassung3!AI:AI,MATCH($A12,Erfassung3!$BR:$BR,0)-1)</f>
        <v>#N/A</v>
      </c>
      <c r="J12" s="130" t="e">
        <f>INDEX(Erfassung3!AJ:AJ,MATCH($A12,Erfassung3!$BR:$BR,0))</f>
        <v>#N/A</v>
      </c>
      <c r="K12" s="129" t="e">
        <f>INDEX(Erfassung3!AK:AK,MATCH($A12,Erfassung3!$BR:$BR,0)-1)</f>
        <v>#N/A</v>
      </c>
      <c r="L12" s="130" t="e">
        <f>INDEX(Erfassung3!AL:AL,MATCH($A12,Erfassung3!$BR:$BR,0))</f>
        <v>#N/A</v>
      </c>
      <c r="M12" s="129" t="e">
        <f>INDEX(Erfassung3!AM:AM,MATCH($A12,Erfassung3!$BR:$BR,0)-1)</f>
        <v>#N/A</v>
      </c>
      <c r="N12" s="130" t="e">
        <f>INDEX(Erfassung3!AN:AN,MATCH($A12,Erfassung3!$BR:$BR,0))</f>
        <v>#N/A</v>
      </c>
      <c r="O12" s="129" t="e">
        <f>INDEX(Erfassung3!AO:AO,MATCH($A12,Erfassung3!$BR:$BR,0)-1)</f>
        <v>#N/A</v>
      </c>
      <c r="P12" s="130" t="e">
        <f>INDEX(Erfassung3!AP:AP,MATCH($A12,Erfassung3!$BR:$BR,0))</f>
        <v>#N/A</v>
      </c>
      <c r="Q12" s="129" t="e">
        <f>INDEX(Erfassung3!AQ:AQ,MATCH($A12,Erfassung3!$BR:$BR,0)-1)</f>
        <v>#N/A</v>
      </c>
      <c r="R12" s="130" t="e">
        <f>INDEX(Erfassung3!AR:AR,MATCH($A12,Erfassung3!$BR:$BR,0))</f>
        <v>#N/A</v>
      </c>
      <c r="S12" s="129" t="e">
        <f>INDEX(Erfassung3!AS:AS,MATCH($A12,Erfassung3!$BR:$BR,0)-1)</f>
        <v>#N/A</v>
      </c>
      <c r="T12" s="130" t="e">
        <f>INDEX(Erfassung3!AT:AT,MATCH($A12,Erfassung3!$BR:$BR,0))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IFERROR(U12/INDEX(Erfassung3!BF:BF,MATCH(A12,Erfassung3!BR:BR,0)),0)</f>
        <v>0</v>
      </c>
      <c r="X12" s="25"/>
      <c r="AA12" s="225" t="e">
        <f>INDEX(TabGes2!G:G,MATCH($B12,TabGes2!$B:$B,0))+U12</f>
        <v>#N/A</v>
      </c>
      <c r="AB12" s="225" t="e">
        <f>INDEX(TabGes2!H:H,MATCH($B12,TabGes2!$B:$B,0))+V12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INDEX(Tabelle2!AE:AE,MATCH(B12,Tabelle2!B:B,0))+SUMIF(Erfassung3!BU:BU,B12,Erfassung3!BF:BF)</f>
        <v>#N/A</v>
      </c>
    </row>
    <row r="13" spans="1:31" ht="42" customHeight="1" thickBot="1" x14ac:dyDescent="0.3">
      <c r="A13" s="223">
        <v>7</v>
      </c>
      <c r="B13" s="128" t="e">
        <f>INDEX(Erfassung3!$AA:$AA,MATCH($A13,Erfassung3!$BR:$BR,0)-17)</f>
        <v>#N/A</v>
      </c>
      <c r="C13" s="129" t="e">
        <f>INDEX(Erfassung3!AC:AC,MATCH($A13,Erfassung3!$BR:$BR,0)-1)</f>
        <v>#N/A</v>
      </c>
      <c r="D13" s="130" t="e">
        <f>INDEX(Erfassung3!AD:AD,MATCH($A13,Erfassung3!$BR:$BR,0))</f>
        <v>#N/A</v>
      </c>
      <c r="E13" s="129" t="e">
        <f>INDEX(Erfassung3!AE:AE,MATCH($A13,Erfassung3!$BR:$BR,0)-1)</f>
        <v>#N/A</v>
      </c>
      <c r="F13" s="130" t="e">
        <f>INDEX(Erfassung3!AF:AF,MATCH($A13,Erfassung3!$BR:$BR,0))</f>
        <v>#N/A</v>
      </c>
      <c r="G13" s="129" t="e">
        <f>INDEX(Erfassung3!AG:AG,MATCH($A13,Erfassung3!$BR:$BR,0)-1)</f>
        <v>#N/A</v>
      </c>
      <c r="H13" s="130" t="e">
        <f>INDEX(Erfassung3!AH:AH,MATCH($A13,Erfassung3!$BR:$BR,0))</f>
        <v>#N/A</v>
      </c>
      <c r="I13" s="129" t="e">
        <f>INDEX(Erfassung3!AI:AI,MATCH($A13,Erfassung3!$BR:$BR,0)-1)</f>
        <v>#N/A</v>
      </c>
      <c r="J13" s="130" t="e">
        <f>INDEX(Erfassung3!AJ:AJ,MATCH($A13,Erfassung3!$BR:$BR,0))</f>
        <v>#N/A</v>
      </c>
      <c r="K13" s="129" t="e">
        <f>INDEX(Erfassung3!AK:AK,MATCH($A13,Erfassung3!$BR:$BR,0)-1)</f>
        <v>#N/A</v>
      </c>
      <c r="L13" s="130" t="e">
        <f>INDEX(Erfassung3!AL:AL,MATCH($A13,Erfassung3!$BR:$BR,0))</f>
        <v>#N/A</v>
      </c>
      <c r="M13" s="129" t="e">
        <f>INDEX(Erfassung3!AM:AM,MATCH($A13,Erfassung3!$BR:$BR,0)-1)</f>
        <v>#N/A</v>
      </c>
      <c r="N13" s="130" t="e">
        <f>INDEX(Erfassung3!AN:AN,MATCH($A13,Erfassung3!$BR:$BR,0))</f>
        <v>#N/A</v>
      </c>
      <c r="O13" s="129" t="e">
        <f>INDEX(Erfassung3!AO:AO,MATCH($A13,Erfassung3!$BR:$BR,0)-1)</f>
        <v>#N/A</v>
      </c>
      <c r="P13" s="130" t="e">
        <f>INDEX(Erfassung3!AP:AP,MATCH($A13,Erfassung3!$BR:$BR,0))</f>
        <v>#N/A</v>
      </c>
      <c r="Q13" s="129" t="e">
        <f>INDEX(Erfassung3!AQ:AQ,MATCH($A13,Erfassung3!$BR:$BR,0)-1)</f>
        <v>#N/A</v>
      </c>
      <c r="R13" s="130" t="e">
        <f>INDEX(Erfassung3!AR:AR,MATCH($A13,Erfassung3!$BR:$BR,0))</f>
        <v>#N/A</v>
      </c>
      <c r="S13" s="129" t="e">
        <f>INDEX(Erfassung3!AS:AS,MATCH($A13,Erfassung3!$BR:$BR,0)-1)</f>
        <v>#N/A</v>
      </c>
      <c r="T13" s="130" t="e">
        <f>INDEX(Erfassung3!AT:AT,MATCH($A13,Erfassung3!$BR:$BR,0))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IFERROR(U13/INDEX(Erfassung3!BF:BF,MATCH(A13,Erfassung3!BR:BR,0)),0)</f>
        <v>0</v>
      </c>
      <c r="X13" s="25"/>
      <c r="AA13" s="225" t="e">
        <f>INDEX(TabGes2!G:G,MATCH($B13,TabGes2!$B:$B,0))+U13</f>
        <v>#N/A</v>
      </c>
      <c r="AB13" s="225" t="e">
        <f>INDEX(TabGes2!H:H,MATCH($B13,TabGes2!$B:$B,0))+V13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INDEX(Tabelle2!AE:AE,MATCH(B13,Tabelle2!B:B,0))+SUMIF(Erfassung3!BU:BU,B13,Erfassung3!BF:BF)</f>
        <v>#N/A</v>
      </c>
    </row>
    <row r="14" spans="1:31" ht="42" customHeight="1" thickBot="1" x14ac:dyDescent="0.3">
      <c r="A14" s="223">
        <v>8</v>
      </c>
      <c r="B14" s="128" t="e">
        <f>INDEX(Erfassung3!$AA:$AA,MATCH($A14,Erfassung3!$BR:$BR,0)-17)</f>
        <v>#N/A</v>
      </c>
      <c r="C14" s="129" t="e">
        <f>INDEX(Erfassung3!AC:AC,MATCH($A14,Erfassung3!$BR:$BR,0)-1)</f>
        <v>#N/A</v>
      </c>
      <c r="D14" s="130" t="e">
        <f>INDEX(Erfassung3!AD:AD,MATCH($A14,Erfassung3!$BR:$BR,0))</f>
        <v>#N/A</v>
      </c>
      <c r="E14" s="129" t="e">
        <f>INDEX(Erfassung3!AE:AE,MATCH($A14,Erfassung3!$BR:$BR,0)-1)</f>
        <v>#N/A</v>
      </c>
      <c r="F14" s="130" t="e">
        <f>INDEX(Erfassung3!AF:AF,MATCH($A14,Erfassung3!$BR:$BR,0))</f>
        <v>#N/A</v>
      </c>
      <c r="G14" s="129" t="e">
        <f>INDEX(Erfassung3!AG:AG,MATCH($A14,Erfassung3!$BR:$BR,0)-1)</f>
        <v>#N/A</v>
      </c>
      <c r="H14" s="130" t="e">
        <f>INDEX(Erfassung3!AH:AH,MATCH($A14,Erfassung3!$BR:$BR,0))</f>
        <v>#N/A</v>
      </c>
      <c r="I14" s="129" t="e">
        <f>INDEX(Erfassung3!AI:AI,MATCH($A14,Erfassung3!$BR:$BR,0)-1)</f>
        <v>#N/A</v>
      </c>
      <c r="J14" s="130" t="e">
        <f>INDEX(Erfassung3!AJ:AJ,MATCH($A14,Erfassung3!$BR:$BR,0))</f>
        <v>#N/A</v>
      </c>
      <c r="K14" s="129" t="e">
        <f>INDEX(Erfassung3!AK:AK,MATCH($A14,Erfassung3!$BR:$BR,0)-1)</f>
        <v>#N/A</v>
      </c>
      <c r="L14" s="130" t="e">
        <f>INDEX(Erfassung3!AL:AL,MATCH($A14,Erfassung3!$BR:$BR,0))</f>
        <v>#N/A</v>
      </c>
      <c r="M14" s="129" t="e">
        <f>INDEX(Erfassung3!AM:AM,MATCH($A14,Erfassung3!$BR:$BR,0)-1)</f>
        <v>#N/A</v>
      </c>
      <c r="N14" s="130" t="e">
        <f>INDEX(Erfassung3!AN:AN,MATCH($A14,Erfassung3!$BR:$BR,0))</f>
        <v>#N/A</v>
      </c>
      <c r="O14" s="129" t="e">
        <f>INDEX(Erfassung3!AO:AO,MATCH($A14,Erfassung3!$BR:$BR,0)-1)</f>
        <v>#N/A</v>
      </c>
      <c r="P14" s="130" t="e">
        <f>INDEX(Erfassung3!AP:AP,MATCH($A14,Erfassung3!$BR:$BR,0))</f>
        <v>#N/A</v>
      </c>
      <c r="Q14" s="129" t="e">
        <f>INDEX(Erfassung3!AQ:AQ,MATCH($A14,Erfassung3!$BR:$BR,0)-1)</f>
        <v>#N/A</v>
      </c>
      <c r="R14" s="130" t="e">
        <f>INDEX(Erfassung3!AR:AR,MATCH($A14,Erfassung3!$BR:$BR,0))</f>
        <v>#N/A</v>
      </c>
      <c r="S14" s="129" t="e">
        <f>INDEX(Erfassung3!AS:AS,MATCH($A14,Erfassung3!$BR:$BR,0)-1)</f>
        <v>#N/A</v>
      </c>
      <c r="T14" s="130" t="e">
        <f>INDEX(Erfassung3!AT:AT,MATCH($A14,Erfassung3!$BR:$BR,0))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IFERROR(U14/INDEX(Erfassung3!BF:BF,MATCH(A14,Erfassung3!BR:BR,0)),0)</f>
        <v>0</v>
      </c>
      <c r="X14" s="25"/>
      <c r="AA14" s="225" t="e">
        <f>INDEX(TabGes2!G:G,MATCH($B14,TabGes2!$B:$B,0))+U14</f>
        <v>#N/A</v>
      </c>
      <c r="AB14" s="225" t="e">
        <f>INDEX(TabGes2!H:H,MATCH($B14,TabGes2!$B:$B,0))+V14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INDEX(Tabelle2!AE:AE,MATCH(B14,Tabelle2!B:B,0))+SUMIF(Erfassung3!BU:BU,B14,Erfassung3!BF:BF)</f>
        <v>#N/A</v>
      </c>
    </row>
    <row r="15" spans="1:31" ht="42" customHeight="1" thickBot="1" x14ac:dyDescent="0.3">
      <c r="A15" s="223">
        <v>9</v>
      </c>
      <c r="B15" s="128" t="e">
        <f>INDEX(Erfassung3!$AA:$AA,MATCH($A15,Erfassung3!$BR:$BR,0)-17)</f>
        <v>#N/A</v>
      </c>
      <c r="C15" s="129" t="e">
        <f>INDEX(Erfassung3!AC:AC,MATCH($A15,Erfassung3!$BR:$BR,0)-1)</f>
        <v>#N/A</v>
      </c>
      <c r="D15" s="130" t="e">
        <f>INDEX(Erfassung3!AD:AD,MATCH($A15,Erfassung3!$BR:$BR,0))</f>
        <v>#N/A</v>
      </c>
      <c r="E15" s="129" t="e">
        <f>INDEX(Erfassung3!AE:AE,MATCH($A15,Erfassung3!$BR:$BR,0)-1)</f>
        <v>#N/A</v>
      </c>
      <c r="F15" s="130" t="e">
        <f>INDEX(Erfassung3!AF:AF,MATCH($A15,Erfassung3!$BR:$BR,0))</f>
        <v>#N/A</v>
      </c>
      <c r="G15" s="129" t="e">
        <f>INDEX(Erfassung3!AG:AG,MATCH($A15,Erfassung3!$BR:$BR,0)-1)</f>
        <v>#N/A</v>
      </c>
      <c r="H15" s="130" t="e">
        <f>INDEX(Erfassung3!AH:AH,MATCH($A15,Erfassung3!$BR:$BR,0))</f>
        <v>#N/A</v>
      </c>
      <c r="I15" s="129" t="e">
        <f>INDEX(Erfassung3!AI:AI,MATCH($A15,Erfassung3!$BR:$BR,0)-1)</f>
        <v>#N/A</v>
      </c>
      <c r="J15" s="130" t="e">
        <f>INDEX(Erfassung3!AJ:AJ,MATCH($A15,Erfassung3!$BR:$BR,0))</f>
        <v>#N/A</v>
      </c>
      <c r="K15" s="129" t="e">
        <f>INDEX(Erfassung3!AK:AK,MATCH($A15,Erfassung3!$BR:$BR,0)-1)</f>
        <v>#N/A</v>
      </c>
      <c r="L15" s="130" t="e">
        <f>INDEX(Erfassung3!AL:AL,MATCH($A15,Erfassung3!$BR:$BR,0))</f>
        <v>#N/A</v>
      </c>
      <c r="M15" s="129" t="e">
        <f>INDEX(Erfassung3!AM:AM,MATCH($A15,Erfassung3!$BR:$BR,0)-1)</f>
        <v>#N/A</v>
      </c>
      <c r="N15" s="130" t="e">
        <f>INDEX(Erfassung3!AN:AN,MATCH($A15,Erfassung3!$BR:$BR,0))</f>
        <v>#N/A</v>
      </c>
      <c r="O15" s="129" t="e">
        <f>INDEX(Erfassung3!AO:AO,MATCH($A15,Erfassung3!$BR:$BR,0)-1)</f>
        <v>#N/A</v>
      </c>
      <c r="P15" s="130" t="e">
        <f>INDEX(Erfassung3!AP:AP,MATCH($A15,Erfassung3!$BR:$BR,0))</f>
        <v>#N/A</v>
      </c>
      <c r="Q15" s="129" t="e">
        <f>INDEX(Erfassung3!AQ:AQ,MATCH($A15,Erfassung3!$BR:$BR,0)-1)</f>
        <v>#N/A</v>
      </c>
      <c r="R15" s="130" t="e">
        <f>INDEX(Erfassung3!AR:AR,MATCH($A15,Erfassung3!$BR:$BR,0))</f>
        <v>#N/A</v>
      </c>
      <c r="S15" s="129" t="e">
        <f>INDEX(Erfassung3!AS:AS,MATCH($A15,Erfassung3!$BR:$BR,0)-1)</f>
        <v>#N/A</v>
      </c>
      <c r="T15" s="130" t="e">
        <f>INDEX(Erfassung3!AT:AT,MATCH($A15,Erfassung3!$BR:$BR,0))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IFERROR(U15/INDEX(Erfassung3!BF:BF,MATCH(A15,Erfassung3!BR:BR,0)),0)</f>
        <v>0</v>
      </c>
      <c r="X15" s="25"/>
      <c r="AA15" s="225" t="e">
        <f>INDEX(TabGes2!G:G,MATCH($B15,TabGes2!$B:$B,0))+U15</f>
        <v>#N/A</v>
      </c>
      <c r="AB15" s="225" t="e">
        <f>INDEX(TabGes2!H:H,MATCH($B15,TabGes2!$B:$B,0))+V15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INDEX(Tabelle2!AE:AE,MATCH(B15,Tabelle2!B:B,0))+SUMIF(Erfassung3!BU:BU,B15,Erfassung3!BF:BF)</f>
        <v>#N/A</v>
      </c>
    </row>
    <row r="16" spans="1:31" ht="42" customHeight="1" thickBot="1" x14ac:dyDescent="0.3">
      <c r="A16" s="223">
        <v>10</v>
      </c>
      <c r="B16" s="128" t="e">
        <f>INDEX(Erfassung3!$AA:$AA,MATCH($A16,Erfassung3!$BR:$BR,0)-17)</f>
        <v>#N/A</v>
      </c>
      <c r="C16" s="129" t="e">
        <f>INDEX(Erfassung3!AC:AC,MATCH($A16,Erfassung3!$BR:$BR,0)-1)</f>
        <v>#N/A</v>
      </c>
      <c r="D16" s="130" t="e">
        <f>INDEX(Erfassung3!AD:AD,MATCH($A16,Erfassung3!$BR:$BR,0))</f>
        <v>#N/A</v>
      </c>
      <c r="E16" s="129" t="e">
        <f>INDEX(Erfassung3!AE:AE,MATCH($A16,Erfassung3!$BR:$BR,0)-1)</f>
        <v>#N/A</v>
      </c>
      <c r="F16" s="130" t="e">
        <f>INDEX(Erfassung3!AF:AF,MATCH($A16,Erfassung3!$BR:$BR,0))</f>
        <v>#N/A</v>
      </c>
      <c r="G16" s="129" t="e">
        <f>INDEX(Erfassung3!AG:AG,MATCH($A16,Erfassung3!$BR:$BR,0)-1)</f>
        <v>#N/A</v>
      </c>
      <c r="H16" s="130" t="e">
        <f>INDEX(Erfassung3!AH:AH,MATCH($A16,Erfassung3!$BR:$BR,0))</f>
        <v>#N/A</v>
      </c>
      <c r="I16" s="129" t="e">
        <f>INDEX(Erfassung3!AI:AI,MATCH($A16,Erfassung3!$BR:$BR,0)-1)</f>
        <v>#N/A</v>
      </c>
      <c r="J16" s="130" t="e">
        <f>INDEX(Erfassung3!AJ:AJ,MATCH($A16,Erfassung3!$BR:$BR,0))</f>
        <v>#N/A</v>
      </c>
      <c r="K16" s="129" t="e">
        <f>INDEX(Erfassung3!AK:AK,MATCH($A16,Erfassung3!$BR:$BR,0)-1)</f>
        <v>#N/A</v>
      </c>
      <c r="L16" s="130" t="e">
        <f>INDEX(Erfassung3!AL:AL,MATCH($A16,Erfassung3!$BR:$BR,0))</f>
        <v>#N/A</v>
      </c>
      <c r="M16" s="129" t="e">
        <f>INDEX(Erfassung3!AM:AM,MATCH($A16,Erfassung3!$BR:$BR,0)-1)</f>
        <v>#N/A</v>
      </c>
      <c r="N16" s="130" t="e">
        <f>INDEX(Erfassung3!AN:AN,MATCH($A16,Erfassung3!$BR:$BR,0))</f>
        <v>#N/A</v>
      </c>
      <c r="O16" s="129" t="e">
        <f>INDEX(Erfassung3!AO:AO,MATCH($A16,Erfassung3!$BR:$BR,0)-1)</f>
        <v>#N/A</v>
      </c>
      <c r="P16" s="130" t="e">
        <f>INDEX(Erfassung3!AP:AP,MATCH($A16,Erfassung3!$BR:$BR,0))</f>
        <v>#N/A</v>
      </c>
      <c r="Q16" s="129" t="e">
        <f>INDEX(Erfassung3!AQ:AQ,MATCH($A16,Erfassung3!$BR:$BR,0)-1)</f>
        <v>#N/A</v>
      </c>
      <c r="R16" s="130" t="e">
        <f>INDEX(Erfassung3!AR:AR,MATCH($A16,Erfassung3!$BR:$BR,0))</f>
        <v>#N/A</v>
      </c>
      <c r="S16" s="129" t="e">
        <f>INDEX(Erfassung3!AS:AS,MATCH($A16,Erfassung3!$BR:$BR,0)-1)</f>
        <v>#N/A</v>
      </c>
      <c r="T16" s="130" t="e">
        <f>INDEX(Erfassung3!AT:AT,MATCH($A16,Erfassung3!$BR:$BR,0))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IFERROR(U16/INDEX(Erfassung3!BF:BF,MATCH(A16,Erfassung3!BR:BR,0)),0)</f>
        <v>0</v>
      </c>
      <c r="X16" s="25"/>
      <c r="AA16" s="225" t="e">
        <f>INDEX(TabGes2!G:G,MATCH($B16,TabGes2!$B:$B,0))+U16</f>
        <v>#N/A</v>
      </c>
      <c r="AB16" s="225" t="e">
        <f>INDEX(TabGes2!H:H,MATCH($B16,TabGes2!$B:$B,0))+V16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INDEX(Tabelle2!AE:AE,MATCH(B16,Tabelle2!B:B,0))+SUMIF(Erfassung3!BU:BU,B16,Erfassung3!BF:BF)</f>
        <v>#N/A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IFERROR(INDEX(Erfassung3!AA:AA,MATCH(1,Erfassung3!BV:BV,0)),"")</f>
        <v/>
      </c>
      <c r="H21" t="str">
        <f>INDEX(Erfassung3!BU:BU,MATCH(C21,Erfassung3!AA:AA,0))</f>
        <v>Praetoria Regensburg</v>
      </c>
      <c r="N21" s="133">
        <f>IFERROR(ROUND(INDEX(Erfassung3!BT:BT,MATCH(1,Erfassung3!BV:BV,0)),0),"")</f>
        <v>0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/>
      </c>
      <c r="H24" t="str">
        <f>INDEX(Erfassung3!BU:BU,MATCH(C24,Erfassung3!AA:AA,0))</f>
        <v>Praetoria Regensburg</v>
      </c>
      <c r="N24" s="381" t="str">
        <f>IFERROR(ROUND(INDEX(Erfassung3!BW:BW,MATCH(1,Erfassung3!BZ:BZ,0)),0),"")&amp;"  /  "&amp;ROUND(IFERROR(ROUND(INDEX(Erfassung3!BW:BW,MATCH(1,Erfassung3!BZ:BZ,0)),0),"")/9,2)</f>
        <v>0  /  0</v>
      </c>
      <c r="O24" s="381"/>
      <c r="P24" s="381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6" t="s">
        <v>1799</v>
      </c>
      <c r="J5" s="377"/>
      <c r="K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5"/>
    </row>
    <row r="7" spans="1:31" ht="42" customHeight="1" thickBot="1" x14ac:dyDescent="0.3">
      <c r="A7" s="34">
        <v>1</v>
      </c>
      <c r="B7" s="128" t="e">
        <f>INDEX(Tabelle3!B:B,MATCH(A7,Tabelle3!AD:AD,0))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9" t="e">
        <f t="shared" ref="I7:I16" si="0">SUM(C7+E7+G7)</f>
        <v>#N/A</v>
      </c>
      <c r="J7" s="40" t="e">
        <f t="shared" ref="J7:J16" si="1">SUM(D7+F7+H7)</f>
        <v>#N/A</v>
      </c>
      <c r="K7" s="37" t="e">
        <f>I7/INDEX(Tabelle3!$AE:$AE,MATCH($B7,Tabelle3!$B:$B,0))</f>
        <v>#N/A</v>
      </c>
      <c r="L7" s="25"/>
    </row>
    <row r="8" spans="1:31" ht="42" customHeight="1" thickBot="1" x14ac:dyDescent="0.3">
      <c r="A8" s="34">
        <v>2</v>
      </c>
      <c r="B8" s="128" t="e">
        <f>INDEX(Tabelle3!B:B,MATCH(A8,Tabelle3!AD:AD,0))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9" t="e">
        <f t="shared" si="0"/>
        <v>#N/A</v>
      </c>
      <c r="J8" s="40" t="e">
        <f t="shared" si="1"/>
        <v>#N/A</v>
      </c>
      <c r="K8" s="37" t="e">
        <f>I8/INDEX(Tabelle3!$AE:$AE,MATCH($B8,Tabelle3!$B:$B,0))</f>
        <v>#N/A</v>
      </c>
      <c r="L8" s="25"/>
    </row>
    <row r="9" spans="1:31" ht="42" customHeight="1" thickBot="1" x14ac:dyDescent="0.3">
      <c r="A9" s="34">
        <v>3</v>
      </c>
      <c r="B9" s="128" t="e">
        <f>INDEX(Tabelle3!B:B,MATCH(A9,Tabelle3!AD:AD,0))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9" t="e">
        <f t="shared" si="0"/>
        <v>#N/A</v>
      </c>
      <c r="J9" s="40" t="e">
        <f t="shared" si="1"/>
        <v>#N/A</v>
      </c>
      <c r="K9" s="37" t="e">
        <f>I9/INDEX(Tabelle3!$AE:$AE,MATCH($B9,Tabelle3!$B:$B,0))</f>
        <v>#N/A</v>
      </c>
      <c r="L9" s="25"/>
    </row>
    <row r="10" spans="1:31" ht="42" customHeight="1" thickBot="1" x14ac:dyDescent="0.3">
      <c r="A10" s="34">
        <v>4</v>
      </c>
      <c r="B10" s="128" t="e">
        <f>INDEX(Tabelle3!B:B,MATCH(A10,Tabelle3!AD:AD,0))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9" t="e">
        <f t="shared" si="0"/>
        <v>#N/A</v>
      </c>
      <c r="J10" s="40" t="e">
        <f t="shared" si="1"/>
        <v>#N/A</v>
      </c>
      <c r="K10" s="37" t="e">
        <f>I10/INDEX(Tabelle3!$AE:$AE,MATCH($B10,Tabelle3!$B:$B,0))</f>
        <v>#N/A</v>
      </c>
      <c r="L10" s="25"/>
    </row>
    <row r="11" spans="1:31" ht="42" customHeight="1" thickBot="1" x14ac:dyDescent="0.3">
      <c r="A11" s="34">
        <v>5</v>
      </c>
      <c r="B11" s="128" t="e">
        <f>INDEX(Tabelle3!B:B,MATCH(A11,Tabelle3!AD:AD,0))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9" t="e">
        <f t="shared" si="0"/>
        <v>#N/A</v>
      </c>
      <c r="J11" s="40" t="e">
        <f t="shared" si="1"/>
        <v>#N/A</v>
      </c>
      <c r="K11" s="37" t="e">
        <f>I11/INDEX(Tabelle3!$AE:$AE,MATCH($B11,Tabelle3!$B:$B,0))</f>
        <v>#N/A</v>
      </c>
      <c r="L11" s="25"/>
    </row>
    <row r="12" spans="1:31" ht="42" customHeight="1" thickBot="1" x14ac:dyDescent="0.3">
      <c r="A12" s="34">
        <v>6</v>
      </c>
      <c r="B12" s="128" t="e">
        <f>INDEX(Tabelle3!B:B,MATCH(A12,Tabelle3!AD:AD,0))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9" t="e">
        <f t="shared" si="0"/>
        <v>#N/A</v>
      </c>
      <c r="J12" s="40" t="e">
        <f t="shared" si="1"/>
        <v>#N/A</v>
      </c>
      <c r="K12" s="37" t="e">
        <f>I12/INDEX(Tabelle3!$AE:$AE,MATCH($B12,Tabelle3!$B:$B,0))</f>
        <v>#N/A</v>
      </c>
      <c r="L12" s="25"/>
    </row>
    <row r="13" spans="1:31" ht="42" customHeight="1" thickBot="1" x14ac:dyDescent="0.3">
      <c r="A13" s="34">
        <v>7</v>
      </c>
      <c r="B13" s="128" t="e">
        <f>INDEX(Tabelle3!B:B,MATCH(A13,Tabelle3!AD:AD,0))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9" t="e">
        <f t="shared" si="0"/>
        <v>#N/A</v>
      </c>
      <c r="J13" s="40" t="e">
        <f t="shared" si="1"/>
        <v>#N/A</v>
      </c>
      <c r="K13" s="37" t="e">
        <f>I13/INDEX(Tabelle3!$AE:$AE,MATCH($B13,Tabelle3!$B:$B,0))</f>
        <v>#N/A</v>
      </c>
      <c r="L13" s="25"/>
    </row>
    <row r="14" spans="1:31" ht="42" customHeight="1" thickBot="1" x14ac:dyDescent="0.3">
      <c r="A14" s="34">
        <v>8</v>
      </c>
      <c r="B14" s="128" t="e">
        <f>INDEX(Tabelle3!B:B,MATCH(A14,Tabelle3!AD:AD,0))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9" t="e">
        <f t="shared" si="0"/>
        <v>#N/A</v>
      </c>
      <c r="J14" s="40" t="e">
        <f t="shared" si="1"/>
        <v>#N/A</v>
      </c>
      <c r="K14" s="37" t="e">
        <f>I14/INDEX(Tabelle3!$AE:$AE,MATCH($B14,Tabelle3!$B:$B,0))</f>
        <v>#N/A</v>
      </c>
      <c r="L14" s="25"/>
    </row>
    <row r="15" spans="1:31" ht="42" customHeight="1" thickBot="1" x14ac:dyDescent="0.3">
      <c r="A15" s="34">
        <v>9</v>
      </c>
      <c r="B15" s="128" t="e">
        <f>INDEX(Tabelle3!B:B,MATCH(A15,Tabelle3!AD:AD,0))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9" t="e">
        <f t="shared" si="0"/>
        <v>#N/A</v>
      </c>
      <c r="J15" s="40" t="e">
        <f t="shared" si="1"/>
        <v>#N/A</v>
      </c>
      <c r="K15" s="37" t="e">
        <f>I15/INDEX(Tabelle3!$AE:$AE,MATCH($B15,Tabelle3!$B:$B,0))</f>
        <v>#N/A</v>
      </c>
      <c r="L15" s="25"/>
    </row>
    <row r="16" spans="1:31" ht="42" customHeight="1" thickBot="1" x14ac:dyDescent="0.3">
      <c r="A16" s="34">
        <v>10</v>
      </c>
      <c r="B16" s="128" t="e">
        <f>INDEX(Tabelle3!B:B,MATCH(A16,Tabelle3!AD:AD,0))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9" t="e">
        <f t="shared" si="0"/>
        <v>#N/A</v>
      </c>
      <c r="J16" s="40" t="e">
        <f t="shared" si="1"/>
        <v>#N/A</v>
      </c>
      <c r="K16" s="37" t="e">
        <f>I16/INDEX(Tabelle3!$AE:$AE,MATCH($B16,Tabelle3!$B:$B,0))</f>
        <v>#N/A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SUMIF(Erfassung3!BD:BD,L3,Erfassung3!BW:BW)</f>
        <v>0</v>
      </c>
      <c r="N3">
        <f>SUMIF(Erfassung3!BD:BD,L3,Erfassung3!BG:BG)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0</v>
      </c>
      <c r="N4">
        <f>SUMIF(Erfassung3!BD:BD,L4,Erfassung3!BG:BG)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SUMIF(Erfassung3!BD:BD,L5,Erfassung3!BW:BW)</f>
        <v>0</v>
      </c>
      <c r="N5">
        <f>SUMIF(Erfassung3!BD:BD,L5,Erfassung3!BG:BG)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SUMIF(Erfassung3!BD:BD,L7,Erfassung3!BW:BW)</f>
        <v>0</v>
      </c>
      <c r="N7">
        <f>SUMIF(Erfassung3!BD:BD,L7,Erfassung3!BG:BG)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SUMIF(Erfassung3!BD:BD,L9,Erfassung3!BW:BW)</f>
        <v>0</v>
      </c>
      <c r="N9">
        <f>SUMIF(Erfassung3!BD:BD,L9,Erfassung3!BG:BG)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SUMIF(Erfassung3!BD:BD,L10,Erfassung3!BW:BW)</f>
        <v>0</v>
      </c>
      <c r="N10">
        <f>SUMIF(Erfassung3!BD:BD,L10,Erfassung3!BG:BG)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SUMIF(Erfassung3!BD:BD,L11,Erfassung3!BW:BW)</f>
        <v>0</v>
      </c>
      <c r="N11">
        <f>SUMIF(Erfassung3!BD:BD,L11,Erfassung3!BG:BG)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SUMIF(Erfassung3!BD:BD,L16,Erfassung3!BW:BW)</f>
        <v>0</v>
      </c>
      <c r="N16">
        <f>SUMIF(Erfassung3!BD:BD,L16,Erfassung3!BG:BG)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SUMIF(Erfassung3!BD:BD,L17,Erfassung3!BW:BW)</f>
        <v>0</v>
      </c>
      <c r="N17">
        <f>SUMIF(Erfassung3!BD:BD,L17,Erfassung3!BG:BG)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SUMIF(Erfassung3!BD:BD,L19,Erfassung3!BW:BW)</f>
        <v>0</v>
      </c>
      <c r="N19">
        <f>SUMIF(Erfassung3!BD:BD,L19,Erfassung3!BG:BG)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SUMIF(Erfassung3!BD:BD,L20,Erfassung3!BW:BW)</f>
        <v>0</v>
      </c>
      <c r="N20">
        <f>SUMIF(Erfassung3!BD:BD,L20,Erfassung3!BG:BG)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SUMIF(Erfassung3!BD:BD,L21,Erfassung3!BW:BW)</f>
        <v>0</v>
      </c>
      <c r="N21">
        <f>SUMIF(Erfassung3!BD:BD,L21,Erfassung3!BG:BG)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SUMIF(Erfassung3!BD:BD,L24,Erfassung3!BW:BW)</f>
        <v>0</v>
      </c>
      <c r="N24">
        <f>SUMIF(Erfassung3!BD:BD,L24,Erfassung3!BG:BG)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SUMIF(Erfassung3!BD:BD,L25,Erfassung3!BW:BW)</f>
        <v>0</v>
      </c>
      <c r="N25">
        <f>SUMIF(Erfassung3!BD:BD,L25,Erfassung3!BG:BG)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SUMIF(Erfassung3!BD:BD,L26,Erfassung3!BW:BW)</f>
        <v>0</v>
      </c>
      <c r="N26">
        <f>SUMIF(Erfassung3!BD:BD,L26,Erfassung3!BG:BG)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SUMIF(Erfassung3!BD:BD,L27,Erfassung3!BW:BW)</f>
        <v>0</v>
      </c>
      <c r="N27">
        <f>SUMIF(Erfassung3!BD:BD,L27,Erfassung3!BG:BG)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SUMIF(Erfassung3!BD:BD,L30,Erfassung3!BW:BW)</f>
        <v>0</v>
      </c>
      <c r="N30">
        <f>SUMIF(Erfassung3!BD:BD,L30,Erfassung3!BG:BG)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SUMIF(Erfassung3!BD:BD,L31,Erfassung3!BW:BW)</f>
        <v>0</v>
      </c>
      <c r="N31">
        <f>SUMIF(Erfassung3!BD:BD,L31,Erfassung3!BG:BG)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SUMIF(Erfassung3!BD:BD,L32,Erfassung3!BW:BW)</f>
        <v>0</v>
      </c>
      <c r="N32">
        <f>SUMIF(Erfassung3!BD:BD,L32,Erfassung3!BG:BG)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SUMIF(Erfassung3!BD:BD,L42,Erfassung3!BW:BW)</f>
        <v>0</v>
      </c>
      <c r="N42">
        <f>SUMIF(Erfassung3!BD:BD,L42,Erfassung3!BG:BG)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SUMIF(Erfassung3!BD:BD,L44,Erfassung3!BW:BW)</f>
        <v>0</v>
      </c>
      <c r="N44">
        <f>SUMIF(Erfassung3!BD:BD,L44,Erfassung3!BG:BG)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SUMIF(Erfassung3!BD:BD,L45,Erfassung3!BW:BW)</f>
        <v>0</v>
      </c>
      <c r="N45">
        <f>SUMIF(Erfassung3!BD:BD,L45,Erfassung3!BG:BG)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SUMIF(Erfassung3!BD:BD,L46,Erfassung3!BW:BW)</f>
        <v>0</v>
      </c>
      <c r="N46">
        <f>SUMIF(Erfassung3!BD:BD,L46,Erfassung3!BG:BG)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0</v>
      </c>
      <c r="N54">
        <f>SUMIF(Erfassung3!BD:BD,L54,Erfassung3!BG:BG)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0</v>
      </c>
      <c r="N55">
        <f>SUMIF(Erfassung3!BD:BD,L55,Erfassung3!BG:BG)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0</v>
      </c>
      <c r="N56">
        <f>SUMIF(Erfassung3!BD:BD,L56,Erfassung3!BG:BG)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0</v>
      </c>
      <c r="N58">
        <f>SUMIF(Erfassung3!BD:BD,L58,Erfassung3!BG:BG)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0</v>
      </c>
      <c r="N59">
        <f>SUMIF(Erfassung3!BD:BD,L59,Erfassung3!BG:BG)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0</v>
      </c>
      <c r="N60">
        <f>SUMIF(Erfassung3!BD:BD,L60,Erfassung3!BG:BG)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0</v>
      </c>
      <c r="N68">
        <f>SUMIF(Erfassung3!BD:BD,L68,Erfassung3!BG:BG)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0</v>
      </c>
      <c r="N69">
        <f>SUMIF(Erfassung3!BD:BD,L69,Erfassung3!BG:BG)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2794</v>
      </c>
      <c r="N2">
        <f>INDEX(SchnittGes2!N:N,MATCH(L2,SchnittGes2!L:L,0))+INDEX(Schnitt3!N:N,MATCH(L2,Schnitt3!L:L,0))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1181</v>
      </c>
      <c r="N3">
        <f>INDEX(SchnittGes2!N:N,MATCH(L3,SchnittGes2!L:L,0))+INDEX(Schnitt3!N:N,MATCH(L3,Schnitt3!L:L,0))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1681</v>
      </c>
      <c r="N4">
        <f>INDEX(SchnittGes2!N:N,MATCH(L4,SchnittGes2!L:L,0))+INDEX(Schnitt3!N:N,MATCH(L4,Schnitt3!L:L,0))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INDEX(SchnittGes2!M:M,MATCH(L5,SchnittGes2!L:L,0))+INDEX(Schnitt3!M:M,MATCH(L5,Schnitt3!L:L,0))</f>
        <v>1117</v>
      </c>
      <c r="N5">
        <f>INDEX(SchnittGes2!N:N,MATCH(L5,SchnittGes2!L:L,0))+INDEX(Schnitt3!N:N,MATCH(L5,Schnitt3!L:L,0))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INDEX(SchnittGes2!M:M,MATCH(L7,SchnittGes2!L:L,0))+INDEX(Schnitt3!M:M,MATCH(L7,Schnitt3!L:L,0))</f>
        <v>3312</v>
      </c>
      <c r="N7">
        <f>INDEX(SchnittGes2!N:N,MATCH(L7,SchnittGes2!L:L,0))+INDEX(Schnitt3!N:N,MATCH(L7,Schnitt3!L:L,0))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INDEX(SchnittGes2!M:M,MATCH(L9,SchnittGes2!L:L,0))+INDEX(Schnitt3!M:M,MATCH(L9,Schnitt3!L:L,0))</f>
        <v>3492</v>
      </c>
      <c r="N9">
        <f>INDEX(SchnittGes2!N:N,MATCH(L9,SchnittGes2!L:L,0))+INDEX(Schnitt3!N:N,MATCH(L9,Schnitt3!L:L,0))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INDEX(SchnittGes2!M:M,MATCH(L10,SchnittGes2!L:L,0))+INDEX(Schnitt3!M:M,MATCH(L10,Schnitt3!L:L,0))</f>
        <v>3376</v>
      </c>
      <c r="N10">
        <f>INDEX(SchnittGes2!N:N,MATCH(L10,SchnittGes2!L:L,0))+INDEX(Schnitt3!N:N,MATCH(L10,Schnitt3!L:L,0))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INDEX(SchnittGes2!M:M,MATCH(L11,SchnittGes2!L:L,0))+INDEX(Schnitt3!M:M,MATCH(L11,Schnitt3!L:L,0))</f>
        <v>3084</v>
      </c>
      <c r="N11">
        <f>INDEX(SchnittGes2!N:N,MATCH(L11,SchnittGes2!L:L,0))+INDEX(Schnitt3!N:N,MATCH(L11,Schnitt3!L:L,0))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INDEX(SchnittGes2!M:M,MATCH(L12,SchnittGes2!L:L,0))+INDEX(Schnitt3!M:M,MATCH(L12,Schnitt3!L:L,0))</f>
        <v>3125</v>
      </c>
      <c r="N12">
        <f>INDEX(SchnittGes2!N:N,MATCH(L12,SchnittGes2!L:L,0))+INDEX(Schnitt3!N:N,MATCH(L12,Schnitt3!L:L,0))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INDEX(SchnittGes2!M:M,MATCH(L13,SchnittGes2!L:L,0))+INDEX(Schnitt3!M:M,MATCH(L13,Schnitt3!L:L,0))</f>
        <v>3103</v>
      </c>
      <c r="N13">
        <f>INDEX(SchnittGes2!N:N,MATCH(L13,SchnittGes2!L:L,0))+INDEX(Schnitt3!N:N,MATCH(L13,Schnitt3!L:L,0))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INDEX(SchnittGes2!M:M,MATCH(L14,SchnittGes2!L:L,0))+INDEX(Schnitt3!M:M,MATCH(L14,Schnitt3!L:L,0))</f>
        <v>2791</v>
      </c>
      <c r="N14">
        <f>INDEX(SchnittGes2!N:N,MATCH(L14,SchnittGes2!L:L,0))+INDEX(Schnitt3!N:N,MATCH(L14,Schnitt3!L:L,0))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INDEX(SchnittGes2!M:M,MATCH(L15,SchnittGes2!L:L,0))+INDEX(Schnitt3!M:M,MATCH(L15,Schnitt3!L:L,0))</f>
        <v>772</v>
      </c>
      <c r="N15">
        <f>INDEX(SchnittGes2!N:N,MATCH(L15,SchnittGes2!L:L,0))+INDEX(Schnitt3!N:N,MATCH(L15,Schnitt3!L:L,0))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INDEX(SchnittGes2!M:M,MATCH(L16,SchnittGes2!L:L,0))+INDEX(Schnitt3!M:M,MATCH(L16,Schnitt3!L:L,0))</f>
        <v>3454</v>
      </c>
      <c r="N16">
        <f>INDEX(SchnittGes2!N:N,MATCH(L16,SchnittGes2!L:L,0))+INDEX(Schnitt3!N:N,MATCH(L16,Schnitt3!L:L,0))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INDEX(SchnittGes2!M:M,MATCH(L17,SchnittGes2!L:L,0))+INDEX(Schnitt3!M:M,MATCH(L17,Schnitt3!L:L,0))</f>
        <v>1641</v>
      </c>
      <c r="N17">
        <f>INDEX(SchnittGes2!N:N,MATCH(L17,SchnittGes2!L:L,0))+INDEX(Schnitt3!N:N,MATCH(L17,Schnitt3!L:L,0))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INDEX(SchnittGes2!M:M,MATCH(L19,SchnittGes2!L:L,0))+INDEX(Schnitt3!M:M,MATCH(L19,Schnitt3!L:L,0))</f>
        <v>1495</v>
      </c>
      <c r="N19">
        <f>INDEX(SchnittGes2!N:N,MATCH(L19,SchnittGes2!L:L,0))+INDEX(Schnitt3!N:N,MATCH(L19,Schnitt3!L:L,0))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INDEX(SchnittGes2!M:M,MATCH(L20,SchnittGes2!L:L,0))+INDEX(Schnitt3!M:M,MATCH(L20,Schnitt3!L:L,0))</f>
        <v>1893</v>
      </c>
      <c r="N20">
        <f>INDEX(SchnittGes2!N:N,MATCH(L20,SchnittGes2!L:L,0))+INDEX(Schnitt3!N:N,MATCH(L20,Schnitt3!L:L,0))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INDEX(SchnittGes2!M:M,MATCH(L21,SchnittGes2!L:L,0))+INDEX(Schnitt3!M:M,MATCH(L21,Schnitt3!L:L,0))</f>
        <v>960</v>
      </c>
      <c r="N21">
        <f>INDEX(SchnittGes2!N:N,MATCH(L21,SchnittGes2!L:L,0))+INDEX(Schnitt3!N:N,MATCH(L21,Schnitt3!L:L,0))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INDEX(SchnittGes2!M:M,MATCH(L22,SchnittGes2!L:L,0))+INDEX(Schnitt3!M:M,MATCH(L22,Schnitt3!L:L,0))</f>
        <v>983</v>
      </c>
      <c r="N22">
        <f>INDEX(SchnittGes2!N:N,MATCH(L22,SchnittGes2!L:L,0))+INDEX(Schnitt3!N:N,MATCH(L22,Schnitt3!L:L,0))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INDEX(SchnittGes2!M:M,MATCH(L24,SchnittGes2!L:L,0))+INDEX(Schnitt3!M:M,MATCH(L24,Schnitt3!L:L,0))</f>
        <v>3390</v>
      </c>
      <c r="N24">
        <f>INDEX(SchnittGes2!N:N,MATCH(L24,SchnittGes2!L:L,0))+INDEX(Schnitt3!N:N,MATCH(L24,Schnitt3!L:L,0))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INDEX(SchnittGes2!M:M,MATCH(L25,SchnittGes2!L:L,0))+INDEX(Schnitt3!M:M,MATCH(L25,Schnitt3!L:L,0))</f>
        <v>2838</v>
      </c>
      <c r="N25">
        <f>INDEX(SchnittGes2!N:N,MATCH(L25,SchnittGes2!L:L,0))+INDEX(Schnitt3!N:N,MATCH(L25,Schnitt3!L:L,0))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INDEX(SchnittGes2!M:M,MATCH(L26,SchnittGes2!L:L,0))+INDEX(Schnitt3!M:M,MATCH(L26,Schnitt3!L:L,0))</f>
        <v>1816</v>
      </c>
      <c r="N26">
        <f>INDEX(SchnittGes2!N:N,MATCH(L26,SchnittGes2!L:L,0))+INDEX(Schnitt3!N:N,MATCH(L26,Schnitt3!L:L,0))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INDEX(SchnittGes2!M:M,MATCH(L27,SchnittGes2!L:L,0))+INDEX(Schnitt3!M:M,MATCH(L27,Schnitt3!L:L,0))</f>
        <v>2433</v>
      </c>
      <c r="N27">
        <f>INDEX(SchnittGes2!N:N,MATCH(L27,SchnittGes2!L:L,0))+INDEX(Schnitt3!N:N,MATCH(L27,Schnitt3!L:L,0))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INDEX(SchnittGes2!M:M,MATCH(L29,SchnittGes2!L:L,0))+INDEX(Schnitt3!M:M,MATCH(L29,Schnitt3!L:L,0))</f>
        <v>3165</v>
      </c>
      <c r="N29">
        <f>INDEX(SchnittGes2!N:N,MATCH(L29,SchnittGes2!L:L,0))+INDEX(Schnitt3!N:N,MATCH(L29,Schnitt3!L:L,0))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INDEX(SchnittGes2!M:M,MATCH(L30,SchnittGes2!L:L,0))+INDEX(Schnitt3!M:M,MATCH(L30,Schnitt3!L:L,0))</f>
        <v>3025</v>
      </c>
      <c r="N30">
        <f>INDEX(SchnittGes2!N:N,MATCH(L30,SchnittGes2!L:L,0))+INDEX(Schnitt3!N:N,MATCH(L30,Schnitt3!L:L,0))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INDEX(SchnittGes2!M:M,MATCH(L31,SchnittGes2!L:L,0))+INDEX(Schnitt3!M:M,MATCH(L31,Schnitt3!L:L,0))</f>
        <v>2949</v>
      </c>
      <c r="N31">
        <f>INDEX(SchnittGes2!N:N,MATCH(L31,SchnittGes2!L:L,0))+INDEX(Schnitt3!N:N,MATCH(L31,Schnitt3!L:L,0))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INDEX(SchnittGes2!M:M,MATCH(L32,SchnittGes2!L:L,0))+INDEX(Schnitt3!M:M,MATCH(L32,Schnitt3!L:L,0))</f>
        <v>3252</v>
      </c>
      <c r="N32">
        <f>INDEX(SchnittGes2!N:N,MATCH(L32,SchnittGes2!L:L,0))+INDEX(Schnitt3!N:N,MATCH(L32,Schnitt3!L:L,0))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INDEX(SchnittGes2!M:M,MATCH(L42,SchnittGes2!L:L,0))+INDEX(Schnitt3!M:M,MATCH(L42,Schnitt3!L:L,0))</f>
        <v>1308</v>
      </c>
      <c r="N42">
        <f>INDEX(SchnittGes2!N:N,MATCH(L42,SchnittGes2!L:L,0))+INDEX(Schnitt3!N:N,MATCH(L42,Schnitt3!L:L,0))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INDEX(SchnittGes2!M:M,MATCH(L44,SchnittGes2!L:L,0))+INDEX(Schnitt3!M:M,MATCH(L44,Schnitt3!L:L,0))</f>
        <v>3223</v>
      </c>
      <c r="N44">
        <f>INDEX(SchnittGes2!N:N,MATCH(L44,SchnittGes2!L:L,0))+INDEX(Schnitt3!N:N,MATCH(L44,Schnitt3!L:L,0))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INDEX(SchnittGes2!M:M,MATCH(L45,SchnittGes2!L:L,0))+INDEX(Schnitt3!M:M,MATCH(L45,Schnitt3!L:L,0))</f>
        <v>3101</v>
      </c>
      <c r="N45">
        <f>INDEX(SchnittGes2!N:N,MATCH(L45,SchnittGes2!L:L,0))+INDEX(Schnitt3!N:N,MATCH(L45,Schnitt3!L:L,0))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INDEX(SchnittGes2!M:M,MATCH(L46,SchnittGes2!L:L,0))+INDEX(Schnitt3!M:M,MATCH(L46,Schnitt3!L:L,0))</f>
        <v>2715</v>
      </c>
      <c r="N46">
        <f>INDEX(SchnittGes2!N:N,MATCH(L46,SchnittGes2!L:L,0))+INDEX(Schnitt3!N:N,MATCH(L46,Schnitt3!L:L,0))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INDEX(SchnittGes2!M:M,MATCH(L49,SchnittGes2!L:L,0))+INDEX(Schnitt3!M:M,MATCH(L49,Schnitt3!L:L,0))</f>
        <v>575</v>
      </c>
      <c r="N49">
        <f>INDEX(SchnittGes2!N:N,MATCH(L49,SchnittGes2!L:L,0))+INDEX(Schnitt3!N:N,MATCH(L49,Schnitt3!L:L,0))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INDEX(SchnittGes2!M:M,MATCH(L51,SchnittGes2!L:L,0))+INDEX(Schnitt3!M:M,MATCH(L51,Schnitt3!L:L,0))</f>
        <v>1516</v>
      </c>
      <c r="N51">
        <f>INDEX(SchnittGes2!N:N,MATCH(L51,SchnittGes2!L:L,0))+INDEX(Schnitt3!N:N,MATCH(L51,Schnitt3!L:L,0))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INDEX(SchnittGes2!M:M,MATCH(L52,SchnittGes2!L:L,0))+INDEX(Schnitt3!M:M,MATCH(L52,Schnitt3!L:L,0))</f>
        <v>1102</v>
      </c>
      <c r="N52">
        <f>INDEX(SchnittGes2!N:N,MATCH(L52,SchnittGes2!L:L,0))+INDEX(Schnitt3!N:N,MATCH(L52,Schnitt3!L:L,0))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INDEX(SchnittGes2!M:M,MATCH(L54,SchnittGes2!L:L,0))+INDEX(Schnitt3!M:M,MATCH(L54,Schnitt3!L:L,0))</f>
        <v>2473</v>
      </c>
      <c r="N54">
        <f>INDEX(SchnittGes2!N:N,MATCH(L54,SchnittGes2!L:L,0))+INDEX(Schnitt3!N:N,MATCH(L54,Schnitt3!L:L,0))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INDEX(SchnittGes2!M:M,MATCH(L55,SchnittGes2!L:L,0))+INDEX(Schnitt3!M:M,MATCH(L55,Schnitt3!L:L,0))</f>
        <v>3268</v>
      </c>
      <c r="N55">
        <f>INDEX(SchnittGes2!N:N,MATCH(L55,SchnittGes2!L:L,0))+INDEX(Schnitt3!N:N,MATCH(L55,Schnitt3!L:L,0))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INDEX(SchnittGes2!M:M,MATCH(L56,SchnittGes2!L:L,0))+INDEX(Schnitt3!M:M,MATCH(L56,Schnitt3!L:L,0))</f>
        <v>3591</v>
      </c>
      <c r="N56">
        <f>INDEX(SchnittGes2!N:N,MATCH(L56,SchnittGes2!L:L,0))+INDEX(Schnitt3!N:N,MATCH(L56,Schnitt3!L:L,0))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INDEX(SchnittGes2!M:M,MATCH(L57,SchnittGes2!L:L,0))+INDEX(Schnitt3!M:M,MATCH(L57,Schnitt3!L:L,0))</f>
        <v>2839</v>
      </c>
      <c r="N57">
        <f>INDEX(SchnittGes2!N:N,MATCH(L57,SchnittGes2!L:L,0))+INDEX(Schnitt3!N:N,MATCH(L57,Schnitt3!L:L,0))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3066</v>
      </c>
      <c r="N59">
        <f>INDEX(SchnittGes2!N:N,MATCH(L59,SchnittGes2!L:L,0))+INDEX(Schnitt3!N:N,MATCH(L59,Schnitt3!L:L,0))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2908</v>
      </c>
      <c r="N60">
        <f>INDEX(SchnittGes2!N:N,MATCH(L60,SchnittGes2!L:L,0))+INDEX(Schnitt3!N:N,MATCH(L60,Schnitt3!L:L,0))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3200</v>
      </c>
      <c r="N61">
        <f>INDEX(SchnittGes2!N:N,MATCH(L61,SchnittGes2!L:L,0))+INDEX(Schnitt3!N:N,MATCH(L61,Schnitt3!L:L,0))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2566</v>
      </c>
      <c r="N65">
        <f>INDEX(SchnittGes2!N:N,MATCH(L65,SchnittGes2!L:L,0))+INDEX(Schnitt3!N:N,MATCH(L65,Schnitt3!L:L,0))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1368</v>
      </c>
      <c r="N66">
        <f>INDEX(SchnittGes2!N:N,MATCH(L66,SchnittGes2!L:L,0))+INDEX(Schnitt3!N:N,MATCH(L66,Schnitt3!L:L,0))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2351</v>
      </c>
      <c r="N67">
        <f>INDEX(SchnittGes2!N:N,MATCH(L67,SchnittGes2!L:L,0))+INDEX(Schnitt3!N:N,MATCH(L67,Schnitt3!L:L,0))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885</v>
      </c>
      <c r="N68">
        <f>INDEX(SchnittGes2!N:N,MATCH(L68,SchnittGes2!L:L,0))+INDEX(Schnitt3!N:N,MATCH(L68,Schnitt3!L:L,0))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3168</v>
      </c>
      <c r="N69">
        <f>INDEX(SchnittGes2!N:N,MATCH(L69,SchnittGes2!L:L,0))+INDEX(Schnitt3!N:N,MATCH(L69,Schnitt3!L:L,0))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3034</v>
      </c>
      <c r="N70">
        <f>INDEX(SchnittGes2!N:N,MATCH(L70,SchnittGes2!L:L,0))+INDEX(Schnitt3!N:N,MATCH(L70,Schnitt3!L:L,0))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3347</v>
      </c>
      <c r="N71">
        <f>INDEX(SchnittGes2!N:N,MATCH(L71,SchnittGes2!L:L,0))+INDEX(Schnitt3!N:N,MATCH(L71,Schnitt3!L:L,0))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1583</v>
      </c>
      <c r="N72">
        <f>INDEX(SchnittGes2!N:N,MATCH(L72,SchnittGes2!L:L,0))+INDEX(Schnitt3!N:N,MATCH(L72,Schnitt3!L:L,0))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+Spielzettel4!T2</f>
        <v>4</v>
      </c>
      <c r="F6" s="331"/>
      <c r="P6" s="140" t="s">
        <v>1838</v>
      </c>
      <c r="Q6" s="332" t="str">
        <f>+Spielzettel4!U1</f>
        <v>15.02./16.02.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+Spielzettel4!F2</f>
        <v>Nürnberg West Bowling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+Spielzettel4!F1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 t="s">
        <v>2366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Schlüssel!$BU$1</f>
        <v>15.02./16.02.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Schlüssel!$BK$2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VLOOKUP(B2,Schlüssel!$A$5:$DZ$14,63)</f>
        <v>10</v>
      </c>
      <c r="E22" s="353"/>
      <c r="F22" s="353">
        <f>VLOOKUP(B2,Schlüssel!$A$5:$DZ$14,64)</f>
        <v>9</v>
      </c>
      <c r="G22" s="353"/>
      <c r="H22" s="353">
        <f>VLOOKUP(B2,Schlüssel!$A$5:$DZ$14,65)</f>
        <v>7</v>
      </c>
      <c r="I22" s="353"/>
      <c r="J22" s="353">
        <f>VLOOKUP(B2,Schlüssel!$A$5:$DZ$14,66)</f>
        <v>4</v>
      </c>
      <c r="K22" s="353"/>
      <c r="L22" s="353">
        <f>VLOOKUP(B2,Schlüssel!$A$5:$DZ$14,67)</f>
        <v>6</v>
      </c>
      <c r="M22" s="353"/>
      <c r="N22" s="353">
        <f>VLOOKUP(B2,Schlüssel!$A$5:$DZ$14,68)</f>
        <v>2</v>
      </c>
      <c r="O22" s="353"/>
      <c r="P22" s="353">
        <f>VLOOKUP(B2,Schlüssel!$A$5:$DZ$14,69)</f>
        <v>8</v>
      </c>
      <c r="Q22" s="353"/>
      <c r="R22" s="353">
        <f>VLOOKUP(B2,Schlüssel!$A$5:$DZ$14,70)</f>
        <v>3</v>
      </c>
      <c r="S22" s="353"/>
      <c r="T22" s="353">
        <f>VLOOKUP(B2,Schlüssel!$A$5:$DZ$14,71)</f>
        <v>5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4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Frankenpower Nürnberg</v>
      </c>
      <c r="I23" s="356"/>
      <c r="J23" s="355" t="str">
        <f>VLOOKUP(J22,Schlüssel!$A$5:$K$14,2)</f>
        <v>BK München 3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2</v>
      </c>
      <c r="O23" s="356"/>
      <c r="P23" s="355" t="str">
        <f>VLOOKUP(P22,Schlüssel!$A$5:$K$14,2)</f>
        <v>EPA München 1</v>
      </c>
      <c r="Q23" s="356"/>
      <c r="R23" s="355" t="str">
        <f>VLOOKUP(R22,Schlüssel!$A$5:$K$14,2)</f>
        <v>Highroller Rosenheim</v>
      </c>
      <c r="S23" s="356"/>
      <c r="T23" s="355" t="str">
        <f>VLOOKUP(T22,Schlüssel!$A$5:$K$14,2)</f>
        <v xml:space="preserve">Weiß Blau Unterföhring 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Schlüssel!$BU$1</f>
        <v>15.02./16.02.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Schlüssel!$BK$2</f>
        <v>Nürnberg West Bowling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VLOOKUP(B31,Schlüssel!$A$5:$DZ$14,63)</f>
        <v>4</v>
      </c>
      <c r="E51" s="353"/>
      <c r="F51" s="353">
        <f>VLOOKUP(B31,Schlüssel!$A$5:$DZ$14,64)</f>
        <v>5</v>
      </c>
      <c r="G51" s="353"/>
      <c r="H51" s="353">
        <f>VLOOKUP(B31,Schlüssel!$A$5:$DZ$14,65)</f>
        <v>9</v>
      </c>
      <c r="I51" s="353"/>
      <c r="J51" s="353">
        <f>VLOOKUP(B31,Schlüssel!$A$5:$DZ$14,66)</f>
        <v>6</v>
      </c>
      <c r="K51" s="353"/>
      <c r="L51" s="353">
        <f>VLOOKUP(B31,Schlüssel!$A$5:$DZ$14,67)</f>
        <v>7</v>
      </c>
      <c r="M51" s="353"/>
      <c r="N51" s="353">
        <f>VLOOKUP(B31,Schlüssel!$A$5:$DZ$14,68)</f>
        <v>1</v>
      </c>
      <c r="O51" s="353"/>
      <c r="P51" s="353">
        <f>VLOOKUP(B31,Schlüssel!$A$5:$DZ$14,69)</f>
        <v>3</v>
      </c>
      <c r="Q51" s="353"/>
      <c r="R51" s="353">
        <f>VLOOKUP(B31,Schlüssel!$A$5:$DZ$14,70)</f>
        <v>10</v>
      </c>
      <c r="S51" s="353"/>
      <c r="T51" s="353">
        <f>VLOOKUP(B31,Schlüssel!$A$5:$DZ$14,71)</f>
        <v>8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BK München 3</v>
      </c>
      <c r="E52" s="356"/>
      <c r="F52" s="355" t="str">
        <f>VLOOKUP(F51,Schlüssel!$A$5:$K$14,2)</f>
        <v xml:space="preserve">Weiß Blau Unterföhring </v>
      </c>
      <c r="G52" s="356"/>
      <c r="H52" s="355" t="str">
        <f>VLOOKUP(H51,Schlüssel!$A$5:$K$14,2)</f>
        <v>RW Lichtenhof 69 Stein 2</v>
      </c>
      <c r="I52" s="356"/>
      <c r="J52" s="355" t="str">
        <f>VLOOKUP(J51,Schlüssel!$A$5:$K$14,2)</f>
        <v>Phönix 03 Lauf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Praetoria Regensburg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BK München 4</v>
      </c>
      <c r="S52" s="356"/>
      <c r="T52" s="355" t="str">
        <f>VLOOKUP(T51,Schlüssel!$A$5:$K$14,2)</f>
        <v>EPA München 1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Schlüssel!$BU$1</f>
        <v>15.02./16.02.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Schlüssel!$BK$2</f>
        <v>Nürnberg West Bowling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VLOOKUP(B60,Schlüssel!$A$5:$DZ$14,63)</f>
        <v>8</v>
      </c>
      <c r="E80" s="353"/>
      <c r="F80" s="353">
        <f>VLOOKUP(B60,Schlüssel!$A$5:$DZ$14,64)</f>
        <v>4</v>
      </c>
      <c r="G80" s="353"/>
      <c r="H80" s="353">
        <f>VLOOKUP(B60,Schlüssel!$A$5:$DZ$14,65)</f>
        <v>5</v>
      </c>
      <c r="I80" s="353"/>
      <c r="J80" s="353">
        <f>VLOOKUP(B60,Schlüssel!$A$5:$DZ$14,66)</f>
        <v>7</v>
      </c>
      <c r="K80" s="353"/>
      <c r="L80" s="353">
        <f>VLOOKUP(B60,Schlüssel!$A$5:$DZ$14,67)</f>
        <v>9</v>
      </c>
      <c r="M80" s="353"/>
      <c r="N80" s="353">
        <f>VLOOKUP(B60,Schlüssel!$A$5:$DZ$14,68)</f>
        <v>6</v>
      </c>
      <c r="O80" s="353"/>
      <c r="P80" s="353">
        <f>VLOOKUP(B60,Schlüssel!$A$5:$DZ$14,69)</f>
        <v>2</v>
      </c>
      <c r="Q80" s="353"/>
      <c r="R80" s="353">
        <f>VLOOKUP(B60,Schlüssel!$A$5:$DZ$14,70)</f>
        <v>1</v>
      </c>
      <c r="S80" s="353"/>
      <c r="T80" s="353">
        <f>VLOOKUP(B60,Schlüssel!$A$5:$DZ$14,71)</f>
        <v>10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EPA München 1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Frankenpower Nürnberg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Praetoria Regensburg</v>
      </c>
      <c r="S81" s="356"/>
      <c r="T81" s="355" t="str">
        <f>VLOOKUP(T80,Schlüssel!$A$5:$K$14,2)</f>
        <v>BK München 4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Schlüssel!$BU$1</f>
        <v>15.02./16.02.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Schlüssel!$BK$2</f>
        <v>Nürnberg West Bowling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VLOOKUP(B89,Schlüssel!$A$5:$DZ$14,63)</f>
        <v>2</v>
      </c>
      <c r="E109" s="353"/>
      <c r="F109" s="353">
        <f>VLOOKUP(B89,Schlüssel!$A$5:$DZ$14,64)</f>
        <v>3</v>
      </c>
      <c r="G109" s="353"/>
      <c r="H109" s="353">
        <f>VLOOKUP(B89,Schlüssel!$A$5:$DZ$14,65)</f>
        <v>10</v>
      </c>
      <c r="I109" s="353"/>
      <c r="J109" s="353">
        <f>VLOOKUP(B89,Schlüssel!$A$5:$DZ$14,66)</f>
        <v>1</v>
      </c>
      <c r="K109" s="353"/>
      <c r="L109" s="353">
        <f>VLOOKUP(B89,Schlüssel!$A$5:$DZ$14,67)</f>
        <v>8</v>
      </c>
      <c r="M109" s="353"/>
      <c r="N109" s="353">
        <f>VLOOKUP(B89,Schlüssel!$A$5:$DZ$14,68)</f>
        <v>7</v>
      </c>
      <c r="O109" s="353"/>
      <c r="P109" s="353">
        <f>VLOOKUP(B89,Schlüssel!$A$5:$DZ$14,69)</f>
        <v>9</v>
      </c>
      <c r="Q109" s="353"/>
      <c r="R109" s="353">
        <f>VLOOKUP(B89,Schlüssel!$A$5:$DZ$14,70)</f>
        <v>5</v>
      </c>
      <c r="S109" s="353"/>
      <c r="T109" s="353">
        <f>VLOOKUP(B89,Schlüssel!$A$5:$DZ$14,71)</f>
        <v>6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BK München 2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BK München 4</v>
      </c>
      <c r="I110" s="356"/>
      <c r="J110" s="355" t="str">
        <f>VLOOKUP(J109,Schlüssel!$A$5:$K$14,2)</f>
        <v>Praetoria Regensburg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 xml:space="preserve">Weiß Blau Unterföhring </v>
      </c>
      <c r="S110" s="356"/>
      <c r="T110" s="355" t="str">
        <f>VLOOKUP(T109,Schlüssel!$A$5:$K$14,2)</f>
        <v>Phönix 03 Lauf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Schlüssel!$BU$1</f>
        <v>15.02./16.02.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Schlüssel!$BK$2</f>
        <v>Nürnberg West Bowling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VLOOKUP(B118,Schlüssel!$A$5:$DZ$14,63)</f>
        <v>7</v>
      </c>
      <c r="E138" s="353"/>
      <c r="F138" s="353">
        <f>VLOOKUP(B118,Schlüssel!$A$5:$DZ$14,64)</f>
        <v>2</v>
      </c>
      <c r="G138" s="353"/>
      <c r="H138" s="353">
        <f>VLOOKUP(B118,Schlüssel!$A$5:$DZ$14,65)</f>
        <v>3</v>
      </c>
      <c r="I138" s="353"/>
      <c r="J138" s="353">
        <f>VLOOKUP(B118,Schlüssel!$A$5:$DZ$14,66)</f>
        <v>8</v>
      </c>
      <c r="K138" s="353"/>
      <c r="L138" s="353">
        <f>VLOOKUP(B118,Schlüssel!$A$5:$DZ$14,67)</f>
        <v>10</v>
      </c>
      <c r="M138" s="353"/>
      <c r="N138" s="353">
        <f>VLOOKUP(B118,Schlüssel!$A$5:$DZ$14,68)</f>
        <v>9</v>
      </c>
      <c r="O138" s="353"/>
      <c r="P138" s="353">
        <f>VLOOKUP(B118,Schlüssel!$A$5:$DZ$14,69)</f>
        <v>6</v>
      </c>
      <c r="Q138" s="353"/>
      <c r="R138" s="353">
        <f>VLOOKUP(B118,Schlüssel!$A$5:$DZ$14,70)</f>
        <v>4</v>
      </c>
      <c r="S138" s="353"/>
      <c r="T138" s="353">
        <f>VLOOKUP(B118,Schlüssel!$A$5:$DZ$14,71)</f>
        <v>1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Frankenpower Nürnberg</v>
      </c>
      <c r="E139" s="356"/>
      <c r="F139" s="355" t="str">
        <f>VLOOKUP(F138,Schlüssel!$A$5:$K$14,2)</f>
        <v>BK München 2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RW Lichtenhof 69 Stein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3</v>
      </c>
      <c r="S139" s="356"/>
      <c r="T139" s="355" t="str">
        <f>VLOOKUP(T138,Schlüssel!$A$5:$K$14,2)</f>
        <v>Praetoria Regensburg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Schlüssel!$BU$1</f>
        <v>15.02./16.02.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Schlüssel!$BK$2</f>
        <v>Nürnberg West Bowling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VLOOKUP(B147,Schlüssel!$A$5:$DZ$14,63)</f>
        <v>9</v>
      </c>
      <c r="E167" s="353"/>
      <c r="F167" s="353">
        <f>VLOOKUP(B147,Schlüssel!$A$5:$DZ$14,64)</f>
        <v>10</v>
      </c>
      <c r="G167" s="353"/>
      <c r="H167" s="353">
        <f>VLOOKUP(B147,Schlüssel!$A$5:$DZ$14,65)</f>
        <v>8</v>
      </c>
      <c r="I167" s="353"/>
      <c r="J167" s="353">
        <f>VLOOKUP(B147,Schlüssel!$A$5:$DZ$14,66)</f>
        <v>2</v>
      </c>
      <c r="K167" s="353"/>
      <c r="L167" s="353">
        <f>VLOOKUP(B147,Schlüssel!$A$5:$DZ$14,67)</f>
        <v>1</v>
      </c>
      <c r="M167" s="353"/>
      <c r="N167" s="353">
        <f>VLOOKUP(B147,Schlüssel!$A$5:$DZ$14,68)</f>
        <v>3</v>
      </c>
      <c r="O167" s="353"/>
      <c r="P167" s="353">
        <f>VLOOKUP(B147,Schlüssel!$A$5:$DZ$14,69)</f>
        <v>5</v>
      </c>
      <c r="Q167" s="353"/>
      <c r="R167" s="353">
        <f>VLOOKUP(B147,Schlüssel!$A$5:$DZ$14,70)</f>
        <v>7</v>
      </c>
      <c r="S167" s="353"/>
      <c r="T167" s="353">
        <f>VLOOKUP(B147,Schlüssel!$A$5:$DZ$14,71)</f>
        <v>4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RW Lichtenhof 69 Stein 2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EPA München 1</v>
      </c>
      <c r="I168" s="356"/>
      <c r="J168" s="355" t="str">
        <f>VLOOKUP(J167,Schlüssel!$A$5:$K$14,2)</f>
        <v>BK München 2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3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Schlüssel!$BU$1</f>
        <v>15.02./16.02.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Schlüssel!$BK$2</f>
        <v>Nürnberg West Bowling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VLOOKUP(B176,Schlüssel!$A$5:$DZ$14,63)</f>
        <v>5</v>
      </c>
      <c r="E196" s="353"/>
      <c r="F196" s="353">
        <f>VLOOKUP(B176,Schlüssel!$A$5:$DZ$14,64)</f>
        <v>8</v>
      </c>
      <c r="G196" s="353"/>
      <c r="H196" s="353">
        <f>VLOOKUP(B176,Schlüssel!$A$5:$DZ$14,65)</f>
        <v>1</v>
      </c>
      <c r="I196" s="353"/>
      <c r="J196" s="353">
        <f>VLOOKUP(B176,Schlüssel!$A$5:$DZ$14,66)</f>
        <v>3</v>
      </c>
      <c r="K196" s="353"/>
      <c r="L196" s="353">
        <f>VLOOKUP(B176,Schlüssel!$A$5:$DZ$14,67)</f>
        <v>2</v>
      </c>
      <c r="M196" s="353"/>
      <c r="N196" s="353">
        <f>VLOOKUP(B176,Schlüssel!$A$5:$DZ$14,68)</f>
        <v>4</v>
      </c>
      <c r="O196" s="353"/>
      <c r="P196" s="353">
        <f>VLOOKUP(B176,Schlüssel!$A$5:$DZ$14,69)</f>
        <v>10</v>
      </c>
      <c r="Q196" s="353"/>
      <c r="R196" s="353">
        <f>VLOOKUP(B176,Schlüssel!$A$5:$DZ$14,70)</f>
        <v>6</v>
      </c>
      <c r="S196" s="353"/>
      <c r="T196" s="353">
        <f>VLOOKUP(B176,Schlüssel!$A$5:$DZ$14,71)</f>
        <v>9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 xml:space="preserve">Weiß Blau Unterföhring 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Praetoria Regensburg</v>
      </c>
      <c r="I197" s="356"/>
      <c r="J197" s="355" t="str">
        <f>VLOOKUP(J196,Schlüssel!$A$5:$K$14,2)</f>
        <v>Highroller Rosenheim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RW Lichtenhof 69 Stein 2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Schlüssel!$BU$1</f>
        <v>15.02./16.02.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Schlüssel!$BK$2</f>
        <v>Nürnberg West Bowling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VLOOKUP(B205,Schlüssel!$A$5:$DZ$14,63)</f>
        <v>3</v>
      </c>
      <c r="E225" s="353"/>
      <c r="F225" s="353">
        <f>VLOOKUP(B205,Schlüssel!$A$5:$DZ$14,64)</f>
        <v>7</v>
      </c>
      <c r="G225" s="353"/>
      <c r="H225" s="353">
        <f>VLOOKUP(B205,Schlüssel!$A$5:$DZ$14,65)</f>
        <v>6</v>
      </c>
      <c r="I225" s="353"/>
      <c r="J225" s="353">
        <f>VLOOKUP(B205,Schlüssel!$A$5:$DZ$14,66)</f>
        <v>5</v>
      </c>
      <c r="K225" s="353"/>
      <c r="L225" s="353">
        <f>VLOOKUP(B205,Schlüssel!$A$5:$DZ$14,67)</f>
        <v>4</v>
      </c>
      <c r="M225" s="353"/>
      <c r="N225" s="353">
        <f>VLOOKUP(B205,Schlüssel!$A$5:$DZ$14,68)</f>
        <v>10</v>
      </c>
      <c r="O225" s="353"/>
      <c r="P225" s="353">
        <f>VLOOKUP(B205,Schlüssel!$A$5:$DZ$14,69)</f>
        <v>1</v>
      </c>
      <c r="Q225" s="353"/>
      <c r="R225" s="353">
        <f>VLOOKUP(B205,Schlüssel!$A$5:$DZ$14,70)</f>
        <v>9</v>
      </c>
      <c r="S225" s="353"/>
      <c r="T225" s="353">
        <f>VLOOKUP(B205,Schlüssel!$A$5:$DZ$14,71)</f>
        <v>2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Highroller Rosenheim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Phönix 03 Lauf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>BK München 4</v>
      </c>
      <c r="O226" s="356"/>
      <c r="P226" s="355" t="str">
        <f>VLOOKUP(P225,Schlüssel!$A$5:$K$14,2)</f>
        <v>Praetoria Regensburg</v>
      </c>
      <c r="Q226" s="356"/>
      <c r="R226" s="355" t="str">
        <f>VLOOKUP(R225,Schlüssel!$A$5:$K$14,2)</f>
        <v>RW Lichtenhof 69 Stein 2</v>
      </c>
      <c r="S226" s="356"/>
      <c r="T226" s="355" t="str">
        <f>VLOOKUP(T225,Schlüssel!$A$5:$K$14,2)</f>
        <v>BK München 2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Schlüssel!$BU$1</f>
        <v>15.02./16.02.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Schlüssel!$BK$2</f>
        <v>Nürnberg West Bowling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VLOOKUP(B234,Schlüssel!$A$5:$DZ$14,63)</f>
        <v>6</v>
      </c>
      <c r="E254" s="353"/>
      <c r="F254" s="353">
        <f>VLOOKUP(B234,Schlüssel!$A$5:$DZ$14,64)</f>
        <v>1</v>
      </c>
      <c r="G254" s="353"/>
      <c r="H254" s="353">
        <f>VLOOKUP(B234,Schlüssel!$A$5:$DZ$14,65)</f>
        <v>2</v>
      </c>
      <c r="I254" s="353"/>
      <c r="J254" s="353">
        <f>VLOOKUP(B234,Schlüssel!$A$5:$DZ$14,66)</f>
        <v>10</v>
      </c>
      <c r="K254" s="353"/>
      <c r="L254" s="353">
        <f>VLOOKUP(B234,Schlüssel!$A$5:$DZ$14,67)</f>
        <v>3</v>
      </c>
      <c r="M254" s="353"/>
      <c r="N254" s="353">
        <f>VLOOKUP(B234,Schlüssel!$A$5:$DZ$14,68)</f>
        <v>5</v>
      </c>
      <c r="O254" s="353"/>
      <c r="P254" s="353">
        <f>VLOOKUP(B234,Schlüssel!$A$5:$DZ$14,69)</f>
        <v>4</v>
      </c>
      <c r="Q254" s="353"/>
      <c r="R254" s="353">
        <f>VLOOKUP(B234,Schlüssel!$A$5:$DZ$14,70)</f>
        <v>8</v>
      </c>
      <c r="S254" s="353"/>
      <c r="T254" s="353">
        <f>VLOOKUP(B234,Schlüssel!$A$5:$DZ$14,71)</f>
        <v>7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Phönix 03 Lauf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2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 xml:space="preserve">Weiß Blau Unterföhring 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EPA München 1</v>
      </c>
      <c r="S255" s="356"/>
      <c r="T255" s="355" t="str">
        <f>VLOOKUP(T254,Schlüssel!$A$5:$K$14,2)</f>
        <v>Frankenpower Nürnberg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Schlüssel!$BU$1</f>
        <v>15.02./16.02.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Schlüssel!$BK$2</f>
        <v>Nürnberg West Bowling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VLOOKUP(B263,Schlüssel!$A$5:$DZ$14,63)</f>
        <v>1</v>
      </c>
      <c r="E283" s="353"/>
      <c r="F283" s="353">
        <f>VLOOKUP(B263,Schlüssel!$A$5:$DZ$14,64)</f>
        <v>6</v>
      </c>
      <c r="G283" s="353"/>
      <c r="H283" s="353">
        <f>VLOOKUP(B263,Schlüssel!$A$5:$DZ$14,65)</f>
        <v>4</v>
      </c>
      <c r="I283" s="353"/>
      <c r="J283" s="353">
        <f>VLOOKUP(B263,Schlüssel!$A$5:$DZ$14,66)</f>
        <v>9</v>
      </c>
      <c r="K283" s="353"/>
      <c r="L283" s="353">
        <f>VLOOKUP(B263,Schlüssel!$A$5:$DZ$14,67)</f>
        <v>5</v>
      </c>
      <c r="M283" s="353"/>
      <c r="N283" s="353">
        <f>VLOOKUP(B263,Schlüssel!$A$5:$DZ$14,68)</f>
        <v>8</v>
      </c>
      <c r="O283" s="353"/>
      <c r="P283" s="353">
        <f>VLOOKUP(B263,Schlüssel!$A$5:$DZ$14,69)</f>
        <v>7</v>
      </c>
      <c r="Q283" s="353"/>
      <c r="R283" s="353">
        <f>VLOOKUP(B263,Schlüssel!$A$5:$DZ$14,70)</f>
        <v>2</v>
      </c>
      <c r="S283" s="353"/>
      <c r="T283" s="353">
        <f>VLOOKUP(B263,Schlüssel!$A$5:$DZ$14,71)</f>
        <v>3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Praetoria Regensburg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BK München 3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EPA München 1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BK München 2</v>
      </c>
      <c r="S284" s="356"/>
      <c r="T284" s="355" t="str">
        <f>VLOOKUP(T283,Schlüssel!$A$5:$K$14,2)</f>
        <v>Highroller Rosenheim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15.02./16.02.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15.02./16.02.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10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7</v>
      </c>
      <c r="I22" s="353" t="str">
        <f t="shared" si="31"/>
        <v/>
      </c>
      <c r="J22" s="353">
        <f t="shared" si="31"/>
        <v>4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2</v>
      </c>
      <c r="O22" s="353" t="str">
        <f t="shared" si="31"/>
        <v/>
      </c>
      <c r="P22" s="353">
        <f t="shared" si="31"/>
        <v>8</v>
      </c>
      <c r="Q22" s="353" t="str">
        <f t="shared" si="31"/>
        <v/>
      </c>
      <c r="R22" s="353">
        <f t="shared" ref="L22:U24" si="32">IF(AQ22=0,"",AQ22)</f>
        <v>3</v>
      </c>
      <c r="S22" s="353" t="str">
        <f t="shared" si="32"/>
        <v/>
      </c>
      <c r="T22" s="353">
        <f t="shared" si="32"/>
        <v>5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VLOOKUP($AA2,Schlüssel!$A$5:$DG$14,63)</f>
        <v>10</v>
      </c>
      <c r="AD22" s="368"/>
      <c r="AE22" s="367">
        <f>VLOOKUP($AA2,Schlüssel!$A$5:$EK$14,64)</f>
        <v>9</v>
      </c>
      <c r="AF22" s="368"/>
      <c r="AG22" s="367">
        <f>VLOOKUP($AA2,Schlüssel!$A$5:$EK$14,65)</f>
        <v>7</v>
      </c>
      <c r="AH22" s="368"/>
      <c r="AI22" s="367">
        <f>VLOOKUP($AA2,Schlüssel!$A$5:$EK$14,66)</f>
        <v>4</v>
      </c>
      <c r="AJ22" s="368"/>
      <c r="AK22" s="367">
        <f>VLOOKUP($AA2,Schlüssel!$A$5:$EK$14,67)</f>
        <v>6</v>
      </c>
      <c r="AL22" s="368"/>
      <c r="AM22" s="367">
        <f>VLOOKUP($AA2,Schlüssel!$A$5:$EK$14,68)</f>
        <v>2</v>
      </c>
      <c r="AN22" s="368"/>
      <c r="AO22" s="367">
        <f>VLOOKUP($AA2,Schlüssel!$A$5:$EK$14,69)</f>
        <v>8</v>
      </c>
      <c r="AP22" s="368"/>
      <c r="AQ22" s="367">
        <f>VLOOKUP($AA2,Schlüssel!$A$5:$EK$14,70)</f>
        <v>3</v>
      </c>
      <c r="AR22" s="368"/>
      <c r="AS22" s="367">
        <f>VLOOKUP($AA2,Schlüssel!$A$5:$EK$14,71)</f>
        <v>5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BK München 4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Frankenpower Nürnberg</v>
      </c>
      <c r="I23" s="356" t="str">
        <f t="shared" si="33"/>
        <v/>
      </c>
      <c r="J23" s="355" t="str">
        <f t="shared" si="33"/>
        <v>BK München 3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2</v>
      </c>
      <c r="O23" s="356" t="str">
        <f t="shared" si="32"/>
        <v/>
      </c>
      <c r="P23" s="355" t="str">
        <f t="shared" si="32"/>
        <v>EPA München 1</v>
      </c>
      <c r="Q23" s="356" t="str">
        <f t="shared" si="32"/>
        <v/>
      </c>
      <c r="R23" s="355" t="str">
        <f t="shared" si="32"/>
        <v>Highroller Rosenheim</v>
      </c>
      <c r="S23" s="356" t="str">
        <f t="shared" si="32"/>
        <v/>
      </c>
      <c r="T23" s="355" t="str">
        <f t="shared" si="32"/>
        <v xml:space="preserve">Weiß Blau Unterföhring 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4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Frankenpower Nürnberg</v>
      </c>
      <c r="AH23" s="356"/>
      <c r="AI23" s="355" t="str">
        <f>VLOOKUP(AI22,Schlüssel!$A$5:$K$14,2)</f>
        <v>BK München 3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2</v>
      </c>
      <c r="AN23" s="356"/>
      <c r="AO23" s="355" t="str">
        <f>VLOOKUP(AO22,Schlüssel!$A$5:$K$14,2)</f>
        <v>EPA München 1</v>
      </c>
      <c r="AP23" s="356"/>
      <c r="AQ23" s="355" t="str">
        <f>VLOOKUP(AQ22,Schlüssel!$A$5:$K$14,2)</f>
        <v>Highroller Rosenheim</v>
      </c>
      <c r="AR23" s="356"/>
      <c r="AS23" s="355" t="str">
        <f>VLOOKUP(AS22,Schlüssel!$A$5:$K$14,2)</f>
        <v xml:space="preserve">Weiß Blau Unterföhring 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15.02./16.02.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15.02./16.02.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Nürnberg West Bowling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5">IF(AE37=0,"",AE37)</f>
        <v/>
      </c>
      <c r="G37" s="345">
        <f>IF(AF37="","",AF37)</f>
        <v>0</v>
      </c>
      <c r="H37" s="75" t="str">
        <f t="shared" ref="H37:H50" si="36">IF(AG37=0,"",AG37)</f>
        <v/>
      </c>
      <c r="I37" s="345">
        <f>IF(AH37="","",AH37)</f>
        <v>0</v>
      </c>
      <c r="J37" s="75" t="str">
        <f t="shared" ref="J37:J50" si="37">IF(AI37=0,"",AI37)</f>
        <v/>
      </c>
      <c r="K37" s="345">
        <f>IF(AJ37="","",AJ37)</f>
        <v>0</v>
      </c>
      <c r="L37" s="75" t="str">
        <f t="shared" ref="L37:L50" si="38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9">IF(AO37=0,"",AO37)</f>
        <v/>
      </c>
      <c r="Q37" s="345">
        <f>IF(AP37="","",AP37)</f>
        <v>0</v>
      </c>
      <c r="R37" s="75" t="str">
        <f t="shared" ref="R37:R50" si="40">IF(AQ37=0,"",AQ37)</f>
        <v/>
      </c>
      <c r="S37" s="345">
        <f>IF(AR37="","",AR37)</f>
        <v>0</v>
      </c>
      <c r="T37" s="75" t="str">
        <f t="shared" ref="T37:T50" si="41">IF(AS37=0,"",AS37)</f>
        <v/>
      </c>
      <c r="U37" s="345">
        <f>IF(AT37="","",AT37)</f>
        <v>0</v>
      </c>
      <c r="V37" s="75" t="str">
        <f t="shared" ref="V37:V50" si="42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BK München 2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BK München 2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73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5">
        <f>IF(AD40="","",AD40)</f>
        <v>0</v>
      </c>
      <c r="F40" s="75" t="str">
        <f t="shared" si="35"/>
        <v/>
      </c>
      <c r="G40" s="345">
        <f>IF(AF40="","",AF40)</f>
        <v>0</v>
      </c>
      <c r="H40" s="75" t="str">
        <f t="shared" si="36"/>
        <v/>
      </c>
      <c r="I40" s="345">
        <f>IF(AH40="","",AH40)</f>
        <v>0</v>
      </c>
      <c r="J40" s="75" t="str">
        <f t="shared" si="37"/>
        <v/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0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0</v>
      </c>
      <c r="V40" s="75" t="str">
        <f t="shared" si="42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BK München 2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74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5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BK München 2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BK München 2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73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5">
        <f>IF(AD43="","",AD43)</f>
        <v>0</v>
      </c>
      <c r="F43" s="75" t="str">
        <f t="shared" si="35"/>
        <v/>
      </c>
      <c r="G43" s="345">
        <f>IF(AF43="","",AF43)</f>
        <v>0</v>
      </c>
      <c r="H43" s="75" t="str">
        <f t="shared" si="36"/>
        <v/>
      </c>
      <c r="I43" s="345">
        <f>IF(AH43="","",AH43)</f>
        <v>0</v>
      </c>
      <c r="J43" s="75" t="str">
        <f t="shared" si="37"/>
        <v/>
      </c>
      <c r="K43" s="345">
        <f>IF(AJ43="","",AJ43)</f>
        <v>0</v>
      </c>
      <c r="L43" s="75" t="str">
        <f t="shared" si="38"/>
        <v/>
      </c>
      <c r="M43" s="345">
        <f>IF(AL43="","",AL43)</f>
        <v>0</v>
      </c>
      <c r="N43" s="75" t="str">
        <f t="shared" si="55"/>
        <v/>
      </c>
      <c r="O43" s="345">
        <f>IF(AN43="","",AN43)</f>
        <v>0</v>
      </c>
      <c r="P43" s="75" t="str">
        <f t="shared" si="39"/>
        <v/>
      </c>
      <c r="Q43" s="345">
        <f>IF(AP43="","",AP43)</f>
        <v>0</v>
      </c>
      <c r="R43" s="75" t="str">
        <f t="shared" si="40"/>
        <v/>
      </c>
      <c r="S43" s="345">
        <f>IF(AR43="","",AR43)</f>
        <v>0</v>
      </c>
      <c r="T43" s="75" t="str">
        <f t="shared" si="41"/>
        <v/>
      </c>
      <c r="U43" s="345">
        <f>IF(AT43="","",AT43)</f>
        <v>0</v>
      </c>
      <c r="V43" s="75" t="str">
        <f t="shared" si="42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BK München 2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BK München 2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BK München 2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73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5">
        <f>IF(AD46="","",AD46)</f>
        <v>0</v>
      </c>
      <c r="F46" s="75" t="str">
        <f t="shared" si="35"/>
        <v/>
      </c>
      <c r="G46" s="345">
        <f>IF(AF46="","",AF46)</f>
        <v>0</v>
      </c>
      <c r="H46" s="75" t="str">
        <f t="shared" si="36"/>
        <v/>
      </c>
      <c r="I46" s="345">
        <f>IF(AH46="","",AH46)</f>
        <v>0</v>
      </c>
      <c r="J46" s="75" t="str">
        <f t="shared" si="37"/>
        <v/>
      </c>
      <c r="K46" s="345">
        <f>IF(AJ46="","",AJ46)</f>
        <v>0</v>
      </c>
      <c r="L46" s="75" t="str">
        <f t="shared" si="38"/>
        <v/>
      </c>
      <c r="M46" s="345">
        <f>IF(AL46="","",AL46)</f>
        <v>0</v>
      </c>
      <c r="N46" s="75" t="str">
        <f t="shared" si="55"/>
        <v/>
      </c>
      <c r="O46" s="345">
        <f>IF(AN46="","",AN46)</f>
        <v>0</v>
      </c>
      <c r="P46" s="75" t="str">
        <f t="shared" si="39"/>
        <v/>
      </c>
      <c r="Q46" s="345">
        <f>IF(AP46="","",AP46)</f>
        <v>0</v>
      </c>
      <c r="R46" s="75" t="str">
        <f t="shared" si="40"/>
        <v/>
      </c>
      <c r="S46" s="345">
        <f>IF(AR46="","",AR46)</f>
        <v>0</v>
      </c>
      <c r="T46" s="75" t="str">
        <f t="shared" si="41"/>
        <v/>
      </c>
      <c r="U46" s="345">
        <f>IF(AT46="","",AT46)</f>
        <v>0</v>
      </c>
      <c r="V46" s="75" t="str">
        <f t="shared" si="42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BK München 2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BK München 2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BK München 2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4</v>
      </c>
      <c r="E52" s="353" t="str">
        <f t="shared" si="66"/>
        <v/>
      </c>
      <c r="F52" s="353">
        <f t="shared" si="66"/>
        <v>5</v>
      </c>
      <c r="G52" s="353" t="str">
        <f t="shared" si="66"/>
        <v/>
      </c>
      <c r="H52" s="353">
        <f t="shared" si="66"/>
        <v>9</v>
      </c>
      <c r="I52" s="353" t="str">
        <f t="shared" si="66"/>
        <v/>
      </c>
      <c r="J52" s="353">
        <f t="shared" si="66"/>
        <v>6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1</v>
      </c>
      <c r="O52" s="353" t="str">
        <f t="shared" si="67"/>
        <v/>
      </c>
      <c r="P52" s="353">
        <f t="shared" si="67"/>
        <v>3</v>
      </c>
      <c r="Q52" s="353" t="str">
        <f t="shared" si="67"/>
        <v/>
      </c>
      <c r="R52" s="353">
        <f t="shared" si="67"/>
        <v>10</v>
      </c>
      <c r="S52" s="353" t="str">
        <f t="shared" si="67"/>
        <v/>
      </c>
      <c r="T52" s="353">
        <f t="shared" si="67"/>
        <v>8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VLOOKUP($AA32,Schlüssel!$A$5:$DG$14,63)</f>
        <v>4</v>
      </c>
      <c r="AD52" s="368"/>
      <c r="AE52" s="367">
        <f>VLOOKUP($AA32,Schlüssel!$A$5:$EK$14,64)</f>
        <v>5</v>
      </c>
      <c r="AF52" s="368"/>
      <c r="AG52" s="367">
        <f>VLOOKUP($AA32,Schlüssel!$A$5:$EK$14,65)</f>
        <v>9</v>
      </c>
      <c r="AH52" s="368"/>
      <c r="AI52" s="367">
        <f>VLOOKUP($AA32,Schlüssel!$A$5:$EK$14,66)</f>
        <v>6</v>
      </c>
      <c r="AJ52" s="368"/>
      <c r="AK52" s="367">
        <f>VLOOKUP($AA32,Schlüssel!$A$5:$EK$14,67)</f>
        <v>7</v>
      </c>
      <c r="AL52" s="368"/>
      <c r="AM52" s="367">
        <f>VLOOKUP($AA32,Schlüssel!$A$5:$EK$14,68)</f>
        <v>1</v>
      </c>
      <c r="AN52" s="368"/>
      <c r="AO52" s="367">
        <f>VLOOKUP($AA32,Schlüssel!$A$5:$EK$14,69)</f>
        <v>3</v>
      </c>
      <c r="AP52" s="368"/>
      <c r="AQ52" s="367">
        <f>VLOOKUP($AA32,Schlüssel!$A$5:$EK$14,70)</f>
        <v>10</v>
      </c>
      <c r="AR52" s="368"/>
      <c r="AS52" s="367">
        <f>VLOOKUP($AA32,Schlüssel!$A$5:$EK$14,71)</f>
        <v>8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BK München 3</v>
      </c>
      <c r="E53" s="356" t="str">
        <f t="shared" si="66"/>
        <v/>
      </c>
      <c r="F53" s="355" t="str">
        <f t="shared" si="66"/>
        <v xml:space="preserve">Weiß Blau Unterföhring </v>
      </c>
      <c r="G53" s="356" t="str">
        <f t="shared" si="66"/>
        <v/>
      </c>
      <c r="H53" s="355" t="str">
        <f t="shared" si="66"/>
        <v>RW Lichtenhof 69 Stein 2</v>
      </c>
      <c r="I53" s="356" t="str">
        <f t="shared" si="66"/>
        <v/>
      </c>
      <c r="J53" s="355" t="str">
        <f t="shared" si="66"/>
        <v>Phönix 03 Lauf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Praetoria Regensburg</v>
      </c>
      <c r="O53" s="356" t="str">
        <f t="shared" si="67"/>
        <v/>
      </c>
      <c r="P53" s="355" t="str">
        <f t="shared" si="67"/>
        <v>Highroller Rosenheim</v>
      </c>
      <c r="Q53" s="356" t="str">
        <f t="shared" si="67"/>
        <v/>
      </c>
      <c r="R53" s="355" t="str">
        <f t="shared" si="67"/>
        <v>BK München 4</v>
      </c>
      <c r="S53" s="356" t="str">
        <f t="shared" si="67"/>
        <v/>
      </c>
      <c r="T53" s="355" t="str">
        <f t="shared" si="67"/>
        <v>EPA München 1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BK München 3</v>
      </c>
      <c r="AD53" s="356"/>
      <c r="AE53" s="355" t="str">
        <f>VLOOKUP(AE52,Schlüssel!$A$5:$K$14,2)</f>
        <v xml:space="preserve">Weiß Blau Unterföhring </v>
      </c>
      <c r="AF53" s="356"/>
      <c r="AG53" s="355" t="str">
        <f>VLOOKUP(AG52,Schlüssel!$A$5:$K$14,2)</f>
        <v>RW Lichtenhof 69 Stein 2</v>
      </c>
      <c r="AH53" s="356"/>
      <c r="AI53" s="355" t="str">
        <f>VLOOKUP(AI52,Schlüssel!$A$5:$K$14,2)</f>
        <v>Phönix 03 Lauf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Praetoria Regensburg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BK München 4</v>
      </c>
      <c r="AR53" s="356"/>
      <c r="AS53" s="355" t="str">
        <f>VLOOKUP(AS52,Schlüssel!$A$5:$K$14,2)</f>
        <v>EPA München 1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15.02./16.02.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15.02./16.02.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Nürnberg West Bowling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8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5</v>
      </c>
      <c r="I82" s="353" t="str">
        <f t="shared" si="100"/>
        <v/>
      </c>
      <c r="J82" s="353">
        <f t="shared" si="100"/>
        <v>7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6</v>
      </c>
      <c r="O82" s="353" t="str">
        <f t="shared" si="101"/>
        <v/>
      </c>
      <c r="P82" s="353">
        <f t="shared" si="101"/>
        <v>2</v>
      </c>
      <c r="Q82" s="353" t="str">
        <f t="shared" si="101"/>
        <v/>
      </c>
      <c r="R82" s="353">
        <f t="shared" si="101"/>
        <v>1</v>
      </c>
      <c r="S82" s="353" t="str">
        <f t="shared" si="101"/>
        <v/>
      </c>
      <c r="T82" s="353">
        <f t="shared" si="101"/>
        <v>10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VLOOKUP($AA62,Schlüssel!$A$5:$DG$14,63)</f>
        <v>8</v>
      </c>
      <c r="AD82" s="368"/>
      <c r="AE82" s="367">
        <f>VLOOKUP($AA62,Schlüssel!$A$5:$EK$14,64)</f>
        <v>4</v>
      </c>
      <c r="AF82" s="368"/>
      <c r="AG82" s="367">
        <f>VLOOKUP($AA62,Schlüssel!$A$5:$EK$14,65)</f>
        <v>5</v>
      </c>
      <c r="AH82" s="368"/>
      <c r="AI82" s="367">
        <f>VLOOKUP($AA62,Schlüssel!$A$5:$EK$14,66)</f>
        <v>7</v>
      </c>
      <c r="AJ82" s="368"/>
      <c r="AK82" s="367">
        <f>VLOOKUP($AA62,Schlüssel!$A$5:$EK$14,67)</f>
        <v>9</v>
      </c>
      <c r="AL82" s="368"/>
      <c r="AM82" s="367">
        <f>VLOOKUP($AA62,Schlüssel!$A$5:$EK$14,68)</f>
        <v>6</v>
      </c>
      <c r="AN82" s="368"/>
      <c r="AO82" s="367">
        <f>VLOOKUP($AA62,Schlüssel!$A$5:$EK$14,69)</f>
        <v>2</v>
      </c>
      <c r="AP82" s="368"/>
      <c r="AQ82" s="367">
        <f>VLOOKUP($AA62,Schlüssel!$A$5:$EK$14,70)</f>
        <v>1</v>
      </c>
      <c r="AR82" s="368"/>
      <c r="AS82" s="367">
        <f>VLOOKUP($AA62,Schlüssel!$A$5:$EK$14,71)</f>
        <v>10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EPA München 1</v>
      </c>
      <c r="E83" s="356" t="str">
        <f t="shared" si="100"/>
        <v/>
      </c>
      <c r="F83" s="355" t="str">
        <f t="shared" si="100"/>
        <v>BK München 3</v>
      </c>
      <c r="G83" s="356" t="str">
        <f t="shared" si="100"/>
        <v/>
      </c>
      <c r="H83" s="355" t="str">
        <f t="shared" si="100"/>
        <v xml:space="preserve">Weiß Blau Unterföhring </v>
      </c>
      <c r="I83" s="356" t="str">
        <f t="shared" si="100"/>
        <v/>
      </c>
      <c r="J83" s="355" t="str">
        <f t="shared" si="100"/>
        <v>Frankenpower Nürnberg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Phönix 03 Lauf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Praetoria Regensburg</v>
      </c>
      <c r="S83" s="356" t="str">
        <f t="shared" si="101"/>
        <v/>
      </c>
      <c r="T83" s="355" t="str">
        <f t="shared" si="101"/>
        <v>BK München 4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EPA München 1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Frankenpower Nürnberg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Praetoria Regensburg</v>
      </c>
      <c r="AR83" s="356"/>
      <c r="AS83" s="355" t="str">
        <f>VLOOKUP(AS82,Schlüssel!$A$5:$K$14,2)</f>
        <v>BK München 4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15.02./16.02.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15.02./16.02.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Nürnberg West Bowling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3">IF(AE97=0,"",AE97)</f>
        <v/>
      </c>
      <c r="G97" s="345">
        <f>IF(AF97="","",AF97)</f>
        <v>0</v>
      </c>
      <c r="H97" s="75" t="str">
        <f t="shared" ref="H97:H110" si="104">IF(AG97=0,"",AG97)</f>
        <v/>
      </c>
      <c r="I97" s="345">
        <f>IF(AH97="","",AH97)</f>
        <v>0</v>
      </c>
      <c r="J97" s="75" t="str">
        <f t="shared" ref="J97:J110" si="105">IF(AI97=0,"",AI97)</f>
        <v/>
      </c>
      <c r="K97" s="345">
        <f>IF(AJ97="","",AJ97)</f>
        <v>0</v>
      </c>
      <c r="L97" s="75" t="str">
        <f t="shared" ref="L97:L110" si="106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7">IF(AO97=0,"",AO97)</f>
        <v/>
      </c>
      <c r="Q97" s="345">
        <f>IF(AP97="","",AP97)</f>
        <v>0</v>
      </c>
      <c r="R97" s="75" t="str">
        <f t="shared" ref="R97:R110" si="108">IF(AQ97=0,"",AQ97)</f>
        <v/>
      </c>
      <c r="S97" s="345">
        <f>IF(AR97="","",AR97)</f>
        <v>0</v>
      </c>
      <c r="T97" s="75" t="str">
        <f t="shared" ref="T97:T110" si="109">IF(AS97=0,"",AS97)</f>
        <v/>
      </c>
      <c r="U97" s="345">
        <f>IF(AT97="","",AT97)</f>
        <v>0</v>
      </c>
      <c r="V97" s="75" t="str">
        <f t="shared" ref="V97:V110" si="110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BK München 3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BK München 3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73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5">
        <f>IF(AD100="","",AD100)</f>
        <v>0</v>
      </c>
      <c r="F100" s="75" t="str">
        <f t="shared" si="103"/>
        <v/>
      </c>
      <c r="G100" s="345">
        <f>IF(AF100="","",AF100)</f>
        <v>0</v>
      </c>
      <c r="H100" s="75" t="str">
        <f t="shared" si="104"/>
        <v/>
      </c>
      <c r="I100" s="345">
        <f>IF(AH100="","",AH100)</f>
        <v>0</v>
      </c>
      <c r="J100" s="75" t="str">
        <f t="shared" si="105"/>
        <v/>
      </c>
      <c r="K100" s="345">
        <f>IF(AJ100="","",AJ100)</f>
        <v>0</v>
      </c>
      <c r="L100" s="75" t="str">
        <f t="shared" si="106"/>
        <v/>
      </c>
      <c r="M100" s="345">
        <f>IF(AL100="","",AL100)</f>
        <v>0</v>
      </c>
      <c r="N100" s="75" t="str">
        <f t="shared" si="123"/>
        <v/>
      </c>
      <c r="O100" s="345">
        <f>IF(AN100="","",AN100)</f>
        <v>0</v>
      </c>
      <c r="P100" s="75" t="str">
        <f t="shared" si="107"/>
        <v/>
      </c>
      <c r="Q100" s="345">
        <f>IF(AP100="","",AP100)</f>
        <v>0</v>
      </c>
      <c r="R100" s="75" t="str">
        <f t="shared" si="108"/>
        <v/>
      </c>
      <c r="S100" s="345">
        <f>IF(AR100="","",AR100)</f>
        <v>0</v>
      </c>
      <c r="T100" s="75" t="str">
        <f t="shared" si="109"/>
        <v/>
      </c>
      <c r="U100" s="345">
        <f>IF(AT100="","",AT100)</f>
        <v>0</v>
      </c>
      <c r="V100" s="75" t="str">
        <f t="shared" si="110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BK München 3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BK München 3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BK München 3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73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5">
        <f>IF(AD103="","",AD103)</f>
        <v>0</v>
      </c>
      <c r="F103" s="75" t="str">
        <f t="shared" si="103"/>
        <v/>
      </c>
      <c r="G103" s="345">
        <f>IF(AF103="","",AF103)</f>
        <v>0</v>
      </c>
      <c r="H103" s="75" t="str">
        <f t="shared" si="104"/>
        <v/>
      </c>
      <c r="I103" s="345">
        <f>IF(AH103="","",AH103)</f>
        <v>0</v>
      </c>
      <c r="J103" s="75" t="str">
        <f t="shared" si="105"/>
        <v/>
      </c>
      <c r="K103" s="345">
        <f>IF(AJ103="","",AJ103)</f>
        <v>0</v>
      </c>
      <c r="L103" s="75" t="str">
        <f t="shared" si="106"/>
        <v/>
      </c>
      <c r="M103" s="345">
        <f>IF(AL103="","",AL103)</f>
        <v>0</v>
      </c>
      <c r="N103" s="75" t="str">
        <f t="shared" si="123"/>
        <v/>
      </c>
      <c r="O103" s="345">
        <f>IF(AN103="","",AN103)</f>
        <v>0</v>
      </c>
      <c r="P103" s="75" t="str">
        <f t="shared" si="107"/>
        <v/>
      </c>
      <c r="Q103" s="345">
        <f>IF(AP103="","",AP103)</f>
        <v>0</v>
      </c>
      <c r="R103" s="75" t="str">
        <f t="shared" si="108"/>
        <v/>
      </c>
      <c r="S103" s="345">
        <f>IF(AR103="","",AR103)</f>
        <v>0</v>
      </c>
      <c r="T103" s="75" t="str">
        <f t="shared" si="109"/>
        <v/>
      </c>
      <c r="U103" s="345">
        <f>IF(AT103="","",AT103)</f>
        <v>0</v>
      </c>
      <c r="V103" s="75" t="str">
        <f t="shared" si="110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BK München 3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74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 t="str">
        <f t="shared" si="108"/>
        <v/>
      </c>
      <c r="S104" s="346"/>
      <c r="T104" s="78" t="str">
        <f t="shared" si="109"/>
        <v/>
      </c>
      <c r="U104" s="346"/>
      <c r="V104" s="78" t="str">
        <f t="shared" si="110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BK München 3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BK München 3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73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5">
        <f>IF(AD106="","",AD106)</f>
        <v>0</v>
      </c>
      <c r="F106" s="75" t="str">
        <f t="shared" si="103"/>
        <v/>
      </c>
      <c r="G106" s="345">
        <f>IF(AF106="","",AF106)</f>
        <v>0</v>
      </c>
      <c r="H106" s="75" t="str">
        <f t="shared" si="104"/>
        <v/>
      </c>
      <c r="I106" s="345">
        <f>IF(AH106="","",AH106)</f>
        <v>0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 t="str">
        <f t="shared" si="110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BK München 3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74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6"/>
      <c r="F107" s="78" t="str">
        <f t="shared" si="103"/>
        <v/>
      </c>
      <c r="G107" s="346"/>
      <c r="H107" s="78" t="str">
        <f t="shared" si="104"/>
        <v/>
      </c>
      <c r="I107" s="346"/>
      <c r="J107" s="78" t="str">
        <f t="shared" si="105"/>
        <v/>
      </c>
      <c r="K107" s="346"/>
      <c r="L107" s="78" t="str">
        <f t="shared" si="106"/>
        <v/>
      </c>
      <c r="M107" s="346"/>
      <c r="N107" s="78" t="str">
        <f t="shared" si="123"/>
        <v/>
      </c>
      <c r="O107" s="346"/>
      <c r="P107" s="78" t="str">
        <f t="shared" si="107"/>
        <v/>
      </c>
      <c r="Q107" s="346"/>
      <c r="R107" s="78" t="str">
        <f t="shared" si="108"/>
        <v/>
      </c>
      <c r="S107" s="346"/>
      <c r="T107" s="78" t="str">
        <f t="shared" si="109"/>
        <v/>
      </c>
      <c r="U107" s="346"/>
      <c r="V107" s="78" t="str">
        <f t="shared" si="110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BK München 3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BK München 3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2</v>
      </c>
      <c r="E112" s="353" t="str">
        <f t="shared" si="134"/>
        <v/>
      </c>
      <c r="F112" s="353">
        <f t="shared" si="134"/>
        <v>3</v>
      </c>
      <c r="G112" s="353" t="str">
        <f t="shared" si="134"/>
        <v/>
      </c>
      <c r="H112" s="353">
        <f t="shared" si="134"/>
        <v>10</v>
      </c>
      <c r="I112" s="353" t="str">
        <f t="shared" si="134"/>
        <v/>
      </c>
      <c r="J112" s="353">
        <f t="shared" si="134"/>
        <v>1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si="135"/>
        <v>5</v>
      </c>
      <c r="S112" s="353" t="str">
        <f t="shared" si="135"/>
        <v/>
      </c>
      <c r="T112" s="353">
        <f t="shared" si="135"/>
        <v>6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VLOOKUP($AA92,Schlüssel!$A$5:$DG$14,63)</f>
        <v>2</v>
      </c>
      <c r="AD112" s="368"/>
      <c r="AE112" s="367">
        <f>VLOOKUP($AA92,Schlüssel!$A$5:$EK$14,64)</f>
        <v>3</v>
      </c>
      <c r="AF112" s="368"/>
      <c r="AG112" s="367">
        <f>VLOOKUP($AA92,Schlüssel!$A$5:$EK$14,65)</f>
        <v>10</v>
      </c>
      <c r="AH112" s="368"/>
      <c r="AI112" s="367">
        <f>VLOOKUP($AA92,Schlüssel!$A$5:$EK$14,66)</f>
        <v>1</v>
      </c>
      <c r="AJ112" s="368"/>
      <c r="AK112" s="367">
        <f>VLOOKUP($AA92,Schlüssel!$A$5:$EK$14,67)</f>
        <v>8</v>
      </c>
      <c r="AL112" s="368"/>
      <c r="AM112" s="367">
        <f>VLOOKUP($AA92,Schlüssel!$A$5:$EK$14,68)</f>
        <v>7</v>
      </c>
      <c r="AN112" s="368"/>
      <c r="AO112" s="367">
        <f>VLOOKUP($AA92,Schlüssel!$A$5:$EK$14,69)</f>
        <v>9</v>
      </c>
      <c r="AP112" s="368"/>
      <c r="AQ112" s="367">
        <f>VLOOKUP($AA92,Schlüssel!$A$5:$EK$14,70)</f>
        <v>5</v>
      </c>
      <c r="AR112" s="368"/>
      <c r="AS112" s="367">
        <f>VLOOKUP($AA92,Schlüssel!$A$5:$EK$14,71)</f>
        <v>6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BK München 2</v>
      </c>
      <c r="E113" s="356" t="str">
        <f t="shared" si="134"/>
        <v/>
      </c>
      <c r="F113" s="355" t="str">
        <f t="shared" si="134"/>
        <v>Highroller Rosenheim</v>
      </c>
      <c r="G113" s="356" t="str">
        <f t="shared" si="134"/>
        <v/>
      </c>
      <c r="H113" s="355" t="str">
        <f t="shared" si="134"/>
        <v>BK München 4</v>
      </c>
      <c r="I113" s="356" t="str">
        <f t="shared" si="134"/>
        <v/>
      </c>
      <c r="J113" s="355" t="str">
        <f t="shared" si="134"/>
        <v>Praetoria Regensburg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Frankenpower Nürnberg</v>
      </c>
      <c r="O113" s="356" t="str">
        <f t="shared" si="135"/>
        <v/>
      </c>
      <c r="P113" s="355" t="str">
        <f t="shared" si="135"/>
        <v>RW Lichtenhof 69 Stein 2</v>
      </c>
      <c r="Q113" s="356" t="str">
        <f t="shared" si="135"/>
        <v/>
      </c>
      <c r="R113" s="355" t="str">
        <f t="shared" si="135"/>
        <v xml:space="preserve">Weiß Blau Unterföhring </v>
      </c>
      <c r="S113" s="356" t="str">
        <f t="shared" si="135"/>
        <v/>
      </c>
      <c r="T113" s="355" t="str">
        <f t="shared" si="135"/>
        <v>Phönix 03 Lauf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BK München 2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BK München 4</v>
      </c>
      <c r="AH113" s="356"/>
      <c r="AI113" s="355" t="str">
        <f>VLOOKUP(AI112,Schlüssel!$A$5:$K$14,2)</f>
        <v>Praetoria Regensburg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 xml:space="preserve">Weiß Blau Unterföhring </v>
      </c>
      <c r="AR113" s="356"/>
      <c r="AS113" s="355" t="str">
        <f>VLOOKUP(AS112,Schlüssel!$A$5:$K$14,2)</f>
        <v>Phönix 03 Lauf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15.02./16.02.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15.02./16.02.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Nürnberg West Bowling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7">IF(AE127=0,"",AE127)</f>
        <v/>
      </c>
      <c r="G127" s="345">
        <f>IF(AF127="","",AF127)</f>
        <v>0</v>
      </c>
      <c r="H127" s="75" t="str">
        <f t="shared" ref="H127:H140" si="138">IF(AG127=0,"",AG127)</f>
        <v/>
      </c>
      <c r="I127" s="345">
        <f>IF(AH127="","",AH127)</f>
        <v>0</v>
      </c>
      <c r="J127" s="75" t="str">
        <f t="shared" ref="J127:J140" si="139">IF(AI127=0,"",AI127)</f>
        <v/>
      </c>
      <c r="K127" s="345">
        <f>IF(AJ127="","",AJ127)</f>
        <v>0</v>
      </c>
      <c r="L127" s="75" t="str">
        <f t="shared" ref="L127:L140" si="140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1">IF(AO127=0,"",AO127)</f>
        <v/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0</v>
      </c>
      <c r="T127" s="75" t="str">
        <f t="shared" ref="T127:T140" si="143">IF(AS127=0,"",AS127)</f>
        <v/>
      </c>
      <c r="U127" s="345">
        <f>IF(AT127="","",AT127)</f>
        <v>0</v>
      </c>
      <c r="V127" s="75" t="str">
        <f t="shared" ref="V127:V140" si="144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74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 t="str">
        <f t="shared" si="142"/>
        <v/>
      </c>
      <c r="S128" s="346"/>
      <c r="T128" s="78" t="str">
        <f t="shared" si="143"/>
        <v/>
      </c>
      <c r="U128" s="346"/>
      <c r="V128" s="78" t="str">
        <f t="shared" si="144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 xml:space="preserve">Weiß Blau Unterföhring 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73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5">
        <f>IF(AD130="","",AD130)</f>
        <v>0</v>
      </c>
      <c r="F130" s="75" t="str">
        <f t="shared" si="137"/>
        <v/>
      </c>
      <c r="G130" s="345">
        <f>IF(AF130="","",AF130)</f>
        <v>0</v>
      </c>
      <c r="H130" s="75" t="str">
        <f t="shared" si="138"/>
        <v/>
      </c>
      <c r="I130" s="345">
        <f>IF(AH130="","",AH130)</f>
        <v>0</v>
      </c>
      <c r="J130" s="75" t="str">
        <f t="shared" si="139"/>
        <v/>
      </c>
      <c r="K130" s="345">
        <f>IF(AJ130="","",AJ130)</f>
        <v>0</v>
      </c>
      <c r="L130" s="75" t="str">
        <f t="shared" si="140"/>
        <v/>
      </c>
      <c r="M130" s="345">
        <f>IF(AL130="","",AL130)</f>
        <v>0</v>
      </c>
      <c r="N130" s="75" t="str">
        <f t="shared" si="157"/>
        <v/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0</v>
      </c>
      <c r="T130" s="75" t="str">
        <f t="shared" si="143"/>
        <v/>
      </c>
      <c r="U130" s="345">
        <f>IF(AT130="","",AT130)</f>
        <v>0</v>
      </c>
      <c r="V130" s="75" t="str">
        <f t="shared" si="144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 xml:space="preserve">Weiß Blau Unterföhring 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74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 t="str">
        <f t="shared" si="139"/>
        <v/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 t="str">
        <f t="shared" si="141"/>
        <v/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 t="str">
        <f t="shared" si="144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 xml:space="preserve">Weiß Blau Unterföhring 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75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 t="str">
        <f t="shared" si="142"/>
        <v/>
      </c>
      <c r="S132" s="347"/>
      <c r="T132" s="69" t="str">
        <f t="shared" si="143"/>
        <v/>
      </c>
      <c r="U132" s="347"/>
      <c r="V132" s="69" t="str">
        <f t="shared" si="144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 xml:space="preserve">Weiß Blau Unterföhring 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73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5">
        <f>IF(AD133="","",AD133)</f>
        <v>0</v>
      </c>
      <c r="F133" s="75" t="str">
        <f t="shared" si="137"/>
        <v/>
      </c>
      <c r="G133" s="345">
        <f>IF(AF133="","",AF133)</f>
        <v>0</v>
      </c>
      <c r="H133" s="75" t="str">
        <f t="shared" si="138"/>
        <v/>
      </c>
      <c r="I133" s="345">
        <f>IF(AH133="","",AH133)</f>
        <v>0</v>
      </c>
      <c r="J133" s="75" t="str">
        <f t="shared" si="139"/>
        <v/>
      </c>
      <c r="K133" s="345">
        <f>IF(AJ133="","",AJ133)</f>
        <v>0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0</v>
      </c>
      <c r="T133" s="75" t="str">
        <f t="shared" si="143"/>
        <v/>
      </c>
      <c r="U133" s="345">
        <f>IF(AT133="","",AT133)</f>
        <v>0</v>
      </c>
      <c r="V133" s="75" t="str">
        <f t="shared" si="144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 xml:space="preserve">Weiß Blau Unterföhring 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74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6"/>
      <c r="F134" s="78" t="str">
        <f t="shared" si="137"/>
        <v/>
      </c>
      <c r="G134" s="346"/>
      <c r="H134" s="78" t="str">
        <f t="shared" si="138"/>
        <v/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 t="str">
        <f t="shared" si="144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 xml:space="preserve">Weiß Blau Unterföhring 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75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 t="str">
        <f t="shared" si="140"/>
        <v/>
      </c>
      <c r="M135" s="347"/>
      <c r="N135" s="69" t="str">
        <f t="shared" si="157"/>
        <v/>
      </c>
      <c r="O135" s="347"/>
      <c r="P135" s="69" t="str">
        <f t="shared" si="141"/>
        <v/>
      </c>
      <c r="Q135" s="347"/>
      <c r="R135" s="69" t="str">
        <f t="shared" si="142"/>
        <v/>
      </c>
      <c r="S135" s="347"/>
      <c r="T135" s="69" t="str">
        <f t="shared" si="143"/>
        <v/>
      </c>
      <c r="U135" s="347"/>
      <c r="V135" s="69" t="str">
        <f t="shared" si="144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 xml:space="preserve">Weiß Blau Unterföhring 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73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5">
        <f>IF(AD136="","",AD136)</f>
        <v>0</v>
      </c>
      <c r="F136" s="75" t="str">
        <f t="shared" si="137"/>
        <v/>
      </c>
      <c r="G136" s="345">
        <f>IF(AF136="","",AF136)</f>
        <v>0</v>
      </c>
      <c r="H136" s="75" t="str">
        <f t="shared" si="138"/>
        <v/>
      </c>
      <c r="I136" s="345">
        <f>IF(AH136="","",AH136)</f>
        <v>0</v>
      </c>
      <c r="J136" s="75" t="str">
        <f t="shared" si="139"/>
        <v/>
      </c>
      <c r="K136" s="345">
        <f>IF(AJ136="","",AJ136)</f>
        <v>0</v>
      </c>
      <c r="L136" s="75" t="str">
        <f t="shared" si="140"/>
        <v/>
      </c>
      <c r="M136" s="345">
        <f>IF(AL136="","",AL136)</f>
        <v>0</v>
      </c>
      <c r="N136" s="75" t="str">
        <f t="shared" si="157"/>
        <v/>
      </c>
      <c r="O136" s="345">
        <f>IF(AN136="","",AN136)</f>
        <v>0</v>
      </c>
      <c r="P136" s="75" t="str">
        <f t="shared" si="141"/>
        <v/>
      </c>
      <c r="Q136" s="345">
        <f>IF(AP136="","",AP136)</f>
        <v>0</v>
      </c>
      <c r="R136" s="75" t="str">
        <f t="shared" si="142"/>
        <v/>
      </c>
      <c r="S136" s="345">
        <f>IF(AR136="","",AR136)</f>
        <v>0</v>
      </c>
      <c r="T136" s="75" t="str">
        <f t="shared" si="143"/>
        <v/>
      </c>
      <c r="U136" s="345">
        <f>IF(AT136="","",AT136)</f>
        <v>0</v>
      </c>
      <c r="V136" s="75" t="str">
        <f t="shared" si="144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 xml:space="preserve">Weiß Blau Unterföhring 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 xml:space="preserve">Weiß Blau Unterföhring 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 xml:space="preserve">Weiß Blau Unterföhring 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7</v>
      </c>
      <c r="E142" s="353" t="str">
        <f t="shared" si="168"/>
        <v/>
      </c>
      <c r="F142" s="353">
        <f t="shared" si="168"/>
        <v>2</v>
      </c>
      <c r="G142" s="353" t="str">
        <f t="shared" si="168"/>
        <v/>
      </c>
      <c r="H142" s="353">
        <f t="shared" si="168"/>
        <v>3</v>
      </c>
      <c r="I142" s="353" t="str">
        <f t="shared" si="168"/>
        <v/>
      </c>
      <c r="J142" s="353">
        <f t="shared" si="168"/>
        <v>8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9</v>
      </c>
      <c r="O142" s="353" t="str">
        <f t="shared" si="169"/>
        <v/>
      </c>
      <c r="P142" s="353">
        <f t="shared" si="169"/>
        <v>6</v>
      </c>
      <c r="Q142" s="353" t="str">
        <f t="shared" si="169"/>
        <v/>
      </c>
      <c r="R142" s="353">
        <f t="shared" si="169"/>
        <v>4</v>
      </c>
      <c r="S142" s="353" t="str">
        <f t="shared" si="169"/>
        <v/>
      </c>
      <c r="T142" s="353">
        <f t="shared" si="169"/>
        <v>1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VLOOKUP($AA122,Schlüssel!$A$5:$DG$14,63)</f>
        <v>7</v>
      </c>
      <c r="AD142" s="368"/>
      <c r="AE142" s="367">
        <f>VLOOKUP($AA122,Schlüssel!$A$5:$EK$14,64)</f>
        <v>2</v>
      </c>
      <c r="AF142" s="368"/>
      <c r="AG142" s="367">
        <f>VLOOKUP($AA122,Schlüssel!$A$5:$EK$14,65)</f>
        <v>3</v>
      </c>
      <c r="AH142" s="368"/>
      <c r="AI142" s="367">
        <f>VLOOKUP($AA122,Schlüssel!$A$5:$EK$14,66)</f>
        <v>8</v>
      </c>
      <c r="AJ142" s="368"/>
      <c r="AK142" s="367">
        <f>VLOOKUP($AA122,Schlüssel!$A$5:$EK$14,67)</f>
        <v>10</v>
      </c>
      <c r="AL142" s="368"/>
      <c r="AM142" s="367">
        <f>VLOOKUP($AA122,Schlüssel!$A$5:$EK$14,68)</f>
        <v>9</v>
      </c>
      <c r="AN142" s="368"/>
      <c r="AO142" s="367">
        <f>VLOOKUP($AA122,Schlüssel!$A$5:$EK$14,69)</f>
        <v>6</v>
      </c>
      <c r="AP142" s="368"/>
      <c r="AQ142" s="367">
        <f>VLOOKUP($AA122,Schlüssel!$A$5:$EK$14,70)</f>
        <v>4</v>
      </c>
      <c r="AR142" s="368"/>
      <c r="AS142" s="367">
        <f>VLOOKUP($AA122,Schlüssel!$A$5:$EK$14,71)</f>
        <v>1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Frankenpower Nürnberg</v>
      </c>
      <c r="E143" s="356" t="str">
        <f t="shared" si="168"/>
        <v/>
      </c>
      <c r="F143" s="355" t="str">
        <f t="shared" si="168"/>
        <v>BK München 2</v>
      </c>
      <c r="G143" s="356" t="str">
        <f t="shared" si="168"/>
        <v/>
      </c>
      <c r="H143" s="355" t="str">
        <f t="shared" si="168"/>
        <v>Highroller Rosenheim</v>
      </c>
      <c r="I143" s="356" t="str">
        <f t="shared" si="168"/>
        <v/>
      </c>
      <c r="J143" s="355" t="str">
        <f t="shared" si="168"/>
        <v>EPA München 1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RW Lichtenhof 69 Stein 2</v>
      </c>
      <c r="O143" s="356" t="str">
        <f t="shared" si="169"/>
        <v/>
      </c>
      <c r="P143" s="355" t="str">
        <f t="shared" si="169"/>
        <v>Phönix 03 Lauf</v>
      </c>
      <c r="Q143" s="356" t="str">
        <f t="shared" si="169"/>
        <v/>
      </c>
      <c r="R143" s="355" t="str">
        <f t="shared" si="169"/>
        <v>BK München 3</v>
      </c>
      <c r="S143" s="356" t="str">
        <f t="shared" si="169"/>
        <v/>
      </c>
      <c r="T143" s="355" t="str">
        <f t="shared" si="169"/>
        <v>Praetoria Regensburg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Frankenpower Nürnberg</v>
      </c>
      <c r="AD143" s="356"/>
      <c r="AE143" s="355" t="str">
        <f>VLOOKUP(AE142,Schlüssel!$A$5:$K$14,2)</f>
        <v>BK München 2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RW Lichtenhof 69 Stein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3</v>
      </c>
      <c r="AR143" s="356"/>
      <c r="AS143" s="355" t="str">
        <f>VLOOKUP(AS142,Schlüssel!$A$5:$K$14,2)</f>
        <v>Praetoria Regensburg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15.02./16.02.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15.02./16.02.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Nürnberg West Bowling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1">IF(AE157=0,"",AE157)</f>
        <v/>
      </c>
      <c r="G157" s="345">
        <f>IF(AF157="","",AF157)</f>
        <v>0</v>
      </c>
      <c r="H157" s="75" t="str">
        <f t="shared" ref="H157:H170" si="172">IF(AG157=0,"",AG157)</f>
        <v/>
      </c>
      <c r="I157" s="345">
        <f>IF(AH157="","",AH157)</f>
        <v>0</v>
      </c>
      <c r="J157" s="75" t="str">
        <f t="shared" ref="J157:J170" si="173">IF(AI157=0,"",AI157)</f>
        <v/>
      </c>
      <c r="K157" s="345">
        <f>IF(AJ157="","",AJ157)</f>
        <v>0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0</v>
      </c>
      <c r="T157" s="75" t="str">
        <f t="shared" ref="T157:T170" si="177">IF(AS157=0,"",AS157)</f>
        <v/>
      </c>
      <c r="U157" s="345">
        <f>IF(AT157="","",AT157)</f>
        <v>0</v>
      </c>
      <c r="V157" s="75" t="str">
        <f t="shared" ref="V157:V170" si="178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74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 t="str">
        <f t="shared" si="173"/>
        <v/>
      </c>
      <c r="K158" s="346"/>
      <c r="L158" s="78" t="str">
        <f t="shared" si="174"/>
        <v/>
      </c>
      <c r="M158" s="346"/>
      <c r="N158" s="78" t="str">
        <f t="shared" ref="N158:N170" si="191">IF(AM158=0,"",AM158)</f>
        <v/>
      </c>
      <c r="O158" s="346"/>
      <c r="P158" s="78" t="str">
        <f t="shared" si="175"/>
        <v/>
      </c>
      <c r="Q158" s="346"/>
      <c r="R158" s="78" t="str">
        <f t="shared" si="176"/>
        <v/>
      </c>
      <c r="S158" s="346"/>
      <c r="T158" s="78" t="str">
        <f t="shared" si="177"/>
        <v/>
      </c>
      <c r="U158" s="346"/>
      <c r="V158" s="78" t="str">
        <f t="shared" si="178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Phönix 03 Lauf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Phönix 03 Lauf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73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5">
        <f>IF(AD160="","",AD160)</f>
        <v>0</v>
      </c>
      <c r="F160" s="75" t="str">
        <f t="shared" si="171"/>
        <v/>
      </c>
      <c r="G160" s="345">
        <f>IF(AF160="","",AF160)</f>
        <v>0</v>
      </c>
      <c r="H160" s="75" t="str">
        <f t="shared" si="172"/>
        <v/>
      </c>
      <c r="I160" s="345">
        <f>IF(AH160="","",AH160)</f>
        <v>0</v>
      </c>
      <c r="J160" s="75" t="str">
        <f t="shared" si="173"/>
        <v/>
      </c>
      <c r="K160" s="345">
        <f>IF(AJ160="","",AJ160)</f>
        <v>0</v>
      </c>
      <c r="L160" s="75" t="str">
        <f t="shared" si="174"/>
        <v/>
      </c>
      <c r="M160" s="345">
        <f>IF(AL160="","",AL160)</f>
        <v>0</v>
      </c>
      <c r="N160" s="75" t="str">
        <f t="shared" si="191"/>
        <v/>
      </c>
      <c r="O160" s="345">
        <f>IF(AN160="","",AN160)</f>
        <v>0</v>
      </c>
      <c r="P160" s="75" t="str">
        <f t="shared" si="175"/>
        <v/>
      </c>
      <c r="Q160" s="345">
        <f>IF(AP160="","",AP160)</f>
        <v>0</v>
      </c>
      <c r="R160" s="75" t="str">
        <f t="shared" si="176"/>
        <v/>
      </c>
      <c r="S160" s="345">
        <f>IF(AR160="","",AR160)</f>
        <v>0</v>
      </c>
      <c r="T160" s="75" t="str">
        <f t="shared" si="177"/>
        <v/>
      </c>
      <c r="U160" s="345">
        <f>IF(AT160="","",AT160)</f>
        <v>0</v>
      </c>
      <c r="V160" s="75" t="str">
        <f t="shared" si="178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Phönix 03 Lauf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Phönix 03 Lauf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Phönix 03 Lauf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73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5">
        <f>IF(AD163="","",AD163)</f>
        <v>0</v>
      </c>
      <c r="F163" s="75" t="str">
        <f t="shared" si="171"/>
        <v/>
      </c>
      <c r="G163" s="345">
        <f>IF(AF163="","",AF163)</f>
        <v>0</v>
      </c>
      <c r="H163" s="75" t="str">
        <f t="shared" si="172"/>
        <v/>
      </c>
      <c r="I163" s="345">
        <f>IF(AH163="","",AH163)</f>
        <v>0</v>
      </c>
      <c r="J163" s="75" t="str">
        <f t="shared" si="173"/>
        <v/>
      </c>
      <c r="K163" s="345">
        <f>IF(AJ163="","",AJ163)</f>
        <v>0</v>
      </c>
      <c r="L163" s="75" t="str">
        <f t="shared" si="174"/>
        <v/>
      </c>
      <c r="M163" s="345">
        <f>IF(AL163="","",AL163)</f>
        <v>0</v>
      </c>
      <c r="N163" s="75" t="str">
        <f t="shared" si="191"/>
        <v/>
      </c>
      <c r="O163" s="345">
        <f>IF(AN163="","",AN163)</f>
        <v>0</v>
      </c>
      <c r="P163" s="75" t="str">
        <f t="shared" si="175"/>
        <v/>
      </c>
      <c r="Q163" s="345">
        <f>IF(AP163="","",AP163)</f>
        <v>0</v>
      </c>
      <c r="R163" s="75" t="str">
        <f t="shared" si="176"/>
        <v/>
      </c>
      <c r="S163" s="345">
        <f>IF(AR163="","",AR163)</f>
        <v>0</v>
      </c>
      <c r="T163" s="75" t="str">
        <f t="shared" si="177"/>
        <v/>
      </c>
      <c r="U163" s="345">
        <f>IF(AT163="","",AT163)</f>
        <v>0</v>
      </c>
      <c r="V163" s="75" t="str">
        <f t="shared" si="178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Phönix 03 Lauf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74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6"/>
      <c r="F164" s="78" t="str">
        <f t="shared" si="171"/>
        <v/>
      </c>
      <c r="G164" s="346"/>
      <c r="H164" s="78" t="str">
        <f t="shared" si="172"/>
        <v/>
      </c>
      <c r="I164" s="346"/>
      <c r="J164" s="78" t="str">
        <f t="shared" si="173"/>
        <v/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 t="str">
        <f t="shared" si="178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Phönix 03 Lauf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Phönix 03 Lauf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73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5">
        <f>IF(AD166="","",AD166)</f>
        <v>0</v>
      </c>
      <c r="F166" s="75" t="str">
        <f t="shared" si="171"/>
        <v/>
      </c>
      <c r="G166" s="345">
        <f>IF(AF166="","",AF166)</f>
        <v>0</v>
      </c>
      <c r="H166" s="75" t="str">
        <f t="shared" si="172"/>
        <v/>
      </c>
      <c r="I166" s="345">
        <f>IF(AH166="","",AH166)</f>
        <v>0</v>
      </c>
      <c r="J166" s="75" t="str">
        <f t="shared" si="173"/>
        <v/>
      </c>
      <c r="K166" s="345">
        <f>IF(AJ166="","",AJ166)</f>
        <v>0</v>
      </c>
      <c r="L166" s="75" t="str">
        <f t="shared" si="174"/>
        <v/>
      </c>
      <c r="M166" s="345">
        <f>IF(AL166="","",AL166)</f>
        <v>0</v>
      </c>
      <c r="N166" s="75" t="str">
        <f t="shared" si="191"/>
        <v/>
      </c>
      <c r="O166" s="345">
        <f>IF(AN166="","",AN166)</f>
        <v>0</v>
      </c>
      <c r="P166" s="75" t="str">
        <f t="shared" si="175"/>
        <v/>
      </c>
      <c r="Q166" s="345">
        <f>IF(AP166="","",AP166)</f>
        <v>0</v>
      </c>
      <c r="R166" s="75" t="str">
        <f t="shared" si="176"/>
        <v/>
      </c>
      <c r="S166" s="345">
        <f>IF(AR166="","",AR166)</f>
        <v>0</v>
      </c>
      <c r="T166" s="75" t="str">
        <f t="shared" si="177"/>
        <v/>
      </c>
      <c r="U166" s="345">
        <f>IF(AT166="","",AT166)</f>
        <v>0</v>
      </c>
      <c r="V166" s="75" t="str">
        <f t="shared" si="178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Phönix 03 Lauf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Phönix 03 Lauf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Phönix 03 Lauf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9</v>
      </c>
      <c r="E172" s="353" t="str">
        <f t="shared" si="202"/>
        <v/>
      </c>
      <c r="F172" s="353">
        <f t="shared" si="202"/>
        <v>10</v>
      </c>
      <c r="G172" s="353" t="str">
        <f t="shared" si="202"/>
        <v/>
      </c>
      <c r="H172" s="353">
        <f t="shared" si="202"/>
        <v>8</v>
      </c>
      <c r="I172" s="353" t="str">
        <f t="shared" si="202"/>
        <v/>
      </c>
      <c r="J172" s="353">
        <f t="shared" si="202"/>
        <v>2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3</v>
      </c>
      <c r="O172" s="353" t="str">
        <f t="shared" si="203"/>
        <v/>
      </c>
      <c r="P172" s="353">
        <f t="shared" si="203"/>
        <v>5</v>
      </c>
      <c r="Q172" s="353" t="str">
        <f t="shared" si="203"/>
        <v/>
      </c>
      <c r="R172" s="353">
        <f t="shared" si="203"/>
        <v>7</v>
      </c>
      <c r="S172" s="353" t="str">
        <f t="shared" si="203"/>
        <v/>
      </c>
      <c r="T172" s="353">
        <f t="shared" si="203"/>
        <v>4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VLOOKUP($AA152,Schlüssel!$A$5:$DG$14,63)</f>
        <v>9</v>
      </c>
      <c r="AD172" s="368"/>
      <c r="AE172" s="367">
        <f>VLOOKUP($AA152,Schlüssel!$A$5:$EK$14,64)</f>
        <v>10</v>
      </c>
      <c r="AF172" s="368"/>
      <c r="AG172" s="367">
        <f>VLOOKUP($AA152,Schlüssel!$A$5:$EK$14,65)</f>
        <v>8</v>
      </c>
      <c r="AH172" s="368"/>
      <c r="AI172" s="367">
        <f>VLOOKUP($AA152,Schlüssel!$A$5:$EK$14,66)</f>
        <v>2</v>
      </c>
      <c r="AJ172" s="368"/>
      <c r="AK172" s="367">
        <f>VLOOKUP($AA152,Schlüssel!$A$5:$EK$14,67)</f>
        <v>1</v>
      </c>
      <c r="AL172" s="368"/>
      <c r="AM172" s="367">
        <f>VLOOKUP($AA152,Schlüssel!$A$5:$EK$14,68)</f>
        <v>3</v>
      </c>
      <c r="AN172" s="368"/>
      <c r="AO172" s="367">
        <f>VLOOKUP($AA152,Schlüssel!$A$5:$EK$14,69)</f>
        <v>5</v>
      </c>
      <c r="AP172" s="368"/>
      <c r="AQ172" s="367">
        <f>VLOOKUP($AA152,Schlüssel!$A$5:$EK$14,70)</f>
        <v>7</v>
      </c>
      <c r="AR172" s="368"/>
      <c r="AS172" s="367">
        <f>VLOOKUP($AA152,Schlüssel!$A$5:$EK$14,71)</f>
        <v>4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RW Lichtenhof 69 Stein 2</v>
      </c>
      <c r="E173" s="356" t="str">
        <f t="shared" si="202"/>
        <v/>
      </c>
      <c r="F173" s="355" t="str">
        <f t="shared" si="202"/>
        <v>BK München 4</v>
      </c>
      <c r="G173" s="356" t="str">
        <f t="shared" si="202"/>
        <v/>
      </c>
      <c r="H173" s="355" t="str">
        <f t="shared" si="202"/>
        <v>EPA München 1</v>
      </c>
      <c r="I173" s="356" t="str">
        <f t="shared" si="202"/>
        <v/>
      </c>
      <c r="J173" s="355" t="str">
        <f t="shared" si="202"/>
        <v>BK München 2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Highroller Rosenheim</v>
      </c>
      <c r="O173" s="356" t="str">
        <f t="shared" si="203"/>
        <v/>
      </c>
      <c r="P173" s="355" t="str">
        <f t="shared" si="203"/>
        <v xml:space="preserve">Weiß Blau Unterföhring </v>
      </c>
      <c r="Q173" s="356" t="str">
        <f t="shared" si="203"/>
        <v/>
      </c>
      <c r="R173" s="355" t="str">
        <f t="shared" si="203"/>
        <v>Frankenpower Nürnberg</v>
      </c>
      <c r="S173" s="356" t="str">
        <f t="shared" si="203"/>
        <v/>
      </c>
      <c r="T173" s="355" t="str">
        <f t="shared" si="203"/>
        <v>BK München 3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RW Lichtenhof 69 Stein 2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EPA München 1</v>
      </c>
      <c r="AH173" s="356"/>
      <c r="AI173" s="355" t="str">
        <f>VLOOKUP(AI172,Schlüssel!$A$5:$K$14,2)</f>
        <v>BK München 2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3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15.02./16.02.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15.02./16.02.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Nürnberg West Bowling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5">IF(AE187=0,"",AE187)</f>
        <v/>
      </c>
      <c r="G187" s="345">
        <f>IF(AF187="","",AF187)</f>
        <v>0</v>
      </c>
      <c r="H187" s="75" t="str">
        <f t="shared" ref="H187:H200" si="206">IF(AG187=0,"",AG187)</f>
        <v/>
      </c>
      <c r="I187" s="345">
        <f>IF(AH187="","",AH187)</f>
        <v>0</v>
      </c>
      <c r="J187" s="75" t="str">
        <f t="shared" ref="J187:J200" si="207">IF(AI187=0,"",AI187)</f>
        <v/>
      </c>
      <c r="K187" s="345">
        <f>IF(AJ187="","",AJ187)</f>
        <v>0</v>
      </c>
      <c r="L187" s="75" t="str">
        <f t="shared" ref="L187:L200" si="208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09">IF(AO187=0,"",AO187)</f>
        <v/>
      </c>
      <c r="Q187" s="345">
        <f>IF(AP187="","",AP187)</f>
        <v>0</v>
      </c>
      <c r="R187" s="75" t="str">
        <f t="shared" ref="R187:R200" si="210">IF(AQ187=0,"",AQ187)</f>
        <v/>
      </c>
      <c r="S187" s="345">
        <f>IF(AR187="","",AR187)</f>
        <v>0</v>
      </c>
      <c r="T187" s="75" t="str">
        <f t="shared" ref="T187:T200" si="211">IF(AS187=0,"",AS187)</f>
        <v/>
      </c>
      <c r="U187" s="345">
        <f>IF(AT187="","",AT187)</f>
        <v>0</v>
      </c>
      <c r="V187" s="75" t="str">
        <f t="shared" ref="V187:V200" si="212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Frankenpower Nürnberg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Frankenpower Nürnberg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73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5">
        <f>IF(AD190="","",AD190)</f>
        <v>0</v>
      </c>
      <c r="F190" s="75" t="str">
        <f t="shared" si="205"/>
        <v/>
      </c>
      <c r="G190" s="345">
        <f>IF(AF190="","",AF190)</f>
        <v>0</v>
      </c>
      <c r="H190" s="75" t="str">
        <f t="shared" si="206"/>
        <v/>
      </c>
      <c r="I190" s="345">
        <f>IF(AH190="","",AH190)</f>
        <v>0</v>
      </c>
      <c r="J190" s="75" t="str">
        <f t="shared" si="207"/>
        <v/>
      </c>
      <c r="K190" s="345">
        <f>IF(AJ190="","",AJ190)</f>
        <v>0</v>
      </c>
      <c r="L190" s="75" t="str">
        <f t="shared" si="208"/>
        <v/>
      </c>
      <c r="M190" s="345">
        <f>IF(AL190="","",AL190)</f>
        <v>0</v>
      </c>
      <c r="N190" s="75" t="str">
        <f t="shared" si="225"/>
        <v/>
      </c>
      <c r="O190" s="345">
        <f>IF(AN190="","",AN190)</f>
        <v>0</v>
      </c>
      <c r="P190" s="75" t="str">
        <f t="shared" si="209"/>
        <v/>
      </c>
      <c r="Q190" s="345">
        <f>IF(AP190="","",AP190)</f>
        <v>0</v>
      </c>
      <c r="R190" s="75" t="str">
        <f t="shared" si="210"/>
        <v/>
      </c>
      <c r="S190" s="345">
        <f>IF(AR190="","",AR190)</f>
        <v>0</v>
      </c>
      <c r="T190" s="75" t="str">
        <f t="shared" si="211"/>
        <v/>
      </c>
      <c r="U190" s="345">
        <f>IF(AT190="","",AT190)</f>
        <v>0</v>
      </c>
      <c r="V190" s="75" t="str">
        <f t="shared" si="212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Frankenpower Nürnberg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Frankenpower Nürnberg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Frankenpower Nürnberg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73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5">
        <f>IF(AD193="","",AD193)</f>
        <v>0</v>
      </c>
      <c r="F193" s="75" t="str">
        <f t="shared" si="205"/>
        <v/>
      </c>
      <c r="G193" s="345">
        <f>IF(AF193="","",AF193)</f>
        <v>0</v>
      </c>
      <c r="H193" s="75" t="str">
        <f t="shared" si="206"/>
        <v/>
      </c>
      <c r="I193" s="345">
        <f>IF(AH193="","",AH193)</f>
        <v>0</v>
      </c>
      <c r="J193" s="75" t="str">
        <f t="shared" si="207"/>
        <v/>
      </c>
      <c r="K193" s="345">
        <f>IF(AJ193="","",AJ193)</f>
        <v>0</v>
      </c>
      <c r="L193" s="75" t="str">
        <f t="shared" si="208"/>
        <v/>
      </c>
      <c r="M193" s="345">
        <f>IF(AL193="","",AL193)</f>
        <v>0</v>
      </c>
      <c r="N193" s="75" t="str">
        <f t="shared" si="225"/>
        <v/>
      </c>
      <c r="O193" s="345">
        <f>IF(AN193="","",AN193)</f>
        <v>0</v>
      </c>
      <c r="P193" s="75" t="str">
        <f t="shared" si="209"/>
        <v/>
      </c>
      <c r="Q193" s="345">
        <f>IF(AP193="","",AP193)</f>
        <v>0</v>
      </c>
      <c r="R193" s="75" t="str">
        <f t="shared" si="210"/>
        <v/>
      </c>
      <c r="S193" s="345">
        <f>IF(AR193="","",AR193)</f>
        <v>0</v>
      </c>
      <c r="T193" s="75" t="str">
        <f t="shared" si="211"/>
        <v/>
      </c>
      <c r="U193" s="345">
        <f>IF(AT193="","",AT193)</f>
        <v>0</v>
      </c>
      <c r="V193" s="75" t="str">
        <f t="shared" si="212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Frankenpower Nürnberg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Frankenpower Nürnberg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Frankenpower Nürnberg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73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5">
        <f>IF(AD196="","",AD196)</f>
        <v>0</v>
      </c>
      <c r="F196" s="75" t="str">
        <f t="shared" si="205"/>
        <v/>
      </c>
      <c r="G196" s="345">
        <f>IF(AF196="","",AF196)</f>
        <v>0</v>
      </c>
      <c r="H196" s="75" t="str">
        <f t="shared" si="206"/>
        <v/>
      </c>
      <c r="I196" s="345">
        <f>IF(AH196="","",AH196)</f>
        <v>0</v>
      </c>
      <c r="J196" s="75" t="str">
        <f t="shared" si="207"/>
        <v/>
      </c>
      <c r="K196" s="345">
        <f>IF(AJ196="","",AJ196)</f>
        <v>0</v>
      </c>
      <c r="L196" s="75" t="str">
        <f t="shared" si="208"/>
        <v/>
      </c>
      <c r="M196" s="345">
        <f>IF(AL196="","",AL196)</f>
        <v>0</v>
      </c>
      <c r="N196" s="75" t="str">
        <f t="shared" si="225"/>
        <v/>
      </c>
      <c r="O196" s="345">
        <f>IF(AN196="","",AN196)</f>
        <v>0</v>
      </c>
      <c r="P196" s="75" t="str">
        <f t="shared" si="209"/>
        <v/>
      </c>
      <c r="Q196" s="345">
        <f>IF(AP196="","",AP196)</f>
        <v>0</v>
      </c>
      <c r="R196" s="75" t="str">
        <f t="shared" si="210"/>
        <v/>
      </c>
      <c r="S196" s="345">
        <f>IF(AR196="","",AR196)</f>
        <v>0</v>
      </c>
      <c r="T196" s="75" t="str">
        <f t="shared" si="211"/>
        <v/>
      </c>
      <c r="U196" s="345">
        <f>IF(AT196="","",AT196)</f>
        <v>0</v>
      </c>
      <c r="V196" s="75" t="str">
        <f t="shared" si="212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Frankenpower Nürnberg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Frankenpower Nürnberg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Frankenpower Nürnberg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5</v>
      </c>
      <c r="E202" s="353" t="str">
        <f t="shared" si="236"/>
        <v/>
      </c>
      <c r="F202" s="353">
        <f t="shared" si="236"/>
        <v>8</v>
      </c>
      <c r="G202" s="353" t="str">
        <f t="shared" si="236"/>
        <v/>
      </c>
      <c r="H202" s="353">
        <f t="shared" si="236"/>
        <v>1</v>
      </c>
      <c r="I202" s="353" t="str">
        <f t="shared" si="236"/>
        <v/>
      </c>
      <c r="J202" s="353">
        <f t="shared" si="236"/>
        <v>3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4</v>
      </c>
      <c r="O202" s="353" t="str">
        <f t="shared" si="237"/>
        <v/>
      </c>
      <c r="P202" s="353">
        <f t="shared" si="237"/>
        <v>10</v>
      </c>
      <c r="Q202" s="353" t="str">
        <f t="shared" si="237"/>
        <v/>
      </c>
      <c r="R202" s="353">
        <f t="shared" si="237"/>
        <v>6</v>
      </c>
      <c r="S202" s="353" t="str">
        <f t="shared" si="237"/>
        <v/>
      </c>
      <c r="T202" s="353">
        <f t="shared" si="237"/>
        <v>9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VLOOKUP($AA182,Schlüssel!$A$5:$DG$14,63)</f>
        <v>5</v>
      </c>
      <c r="AD202" s="368"/>
      <c r="AE202" s="367">
        <f>VLOOKUP($AA182,Schlüssel!$A$5:$EK$14,64)</f>
        <v>8</v>
      </c>
      <c r="AF202" s="368"/>
      <c r="AG202" s="367">
        <f>VLOOKUP($AA182,Schlüssel!$A$5:$EK$14,65)</f>
        <v>1</v>
      </c>
      <c r="AH202" s="368"/>
      <c r="AI202" s="367">
        <f>VLOOKUP($AA182,Schlüssel!$A$5:$EK$14,66)</f>
        <v>3</v>
      </c>
      <c r="AJ202" s="368"/>
      <c r="AK202" s="367">
        <f>VLOOKUP($AA182,Schlüssel!$A$5:$EK$14,67)</f>
        <v>2</v>
      </c>
      <c r="AL202" s="368"/>
      <c r="AM202" s="367">
        <f>VLOOKUP($AA182,Schlüssel!$A$5:$EK$14,68)</f>
        <v>4</v>
      </c>
      <c r="AN202" s="368"/>
      <c r="AO202" s="367">
        <f>VLOOKUP($AA182,Schlüssel!$A$5:$EK$14,69)</f>
        <v>10</v>
      </c>
      <c r="AP202" s="368"/>
      <c r="AQ202" s="367">
        <f>VLOOKUP($AA182,Schlüssel!$A$5:$EK$14,70)</f>
        <v>6</v>
      </c>
      <c r="AR202" s="368"/>
      <c r="AS202" s="367">
        <f>VLOOKUP($AA182,Schlüssel!$A$5:$EK$14,71)</f>
        <v>9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 xml:space="preserve">Weiß Blau Unterföhring </v>
      </c>
      <c r="E203" s="356" t="str">
        <f t="shared" si="236"/>
        <v/>
      </c>
      <c r="F203" s="355" t="str">
        <f t="shared" si="236"/>
        <v>EPA München 1</v>
      </c>
      <c r="G203" s="356" t="str">
        <f t="shared" si="236"/>
        <v/>
      </c>
      <c r="H203" s="355" t="str">
        <f t="shared" si="236"/>
        <v>Praetoria Regensburg</v>
      </c>
      <c r="I203" s="356" t="str">
        <f t="shared" si="236"/>
        <v/>
      </c>
      <c r="J203" s="355" t="str">
        <f t="shared" si="236"/>
        <v>Highroller Rosenheim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BK München 3</v>
      </c>
      <c r="O203" s="356" t="str">
        <f t="shared" si="237"/>
        <v/>
      </c>
      <c r="P203" s="355" t="str">
        <f t="shared" si="237"/>
        <v>BK München 4</v>
      </c>
      <c r="Q203" s="356" t="str">
        <f t="shared" si="237"/>
        <v/>
      </c>
      <c r="R203" s="355" t="str">
        <f t="shared" si="237"/>
        <v>Phönix 03 Lauf</v>
      </c>
      <c r="S203" s="356" t="str">
        <f t="shared" si="237"/>
        <v/>
      </c>
      <c r="T203" s="355" t="str">
        <f t="shared" si="237"/>
        <v>RW Lichtenhof 69 Stein 2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 xml:space="preserve">Weiß Blau Unterföhring 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Praetoria Regensburg</v>
      </c>
      <c r="AH203" s="356"/>
      <c r="AI203" s="355" t="str">
        <f>VLOOKUP(AI202,Schlüssel!$A$5:$K$14,2)</f>
        <v>Highroller Rosenheim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RW Lichtenhof 69 Stein 2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15.02./16.02.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15.02./16.02.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Nürnberg West Bowling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39">IF(AE217=0,"",AE217)</f>
        <v/>
      </c>
      <c r="G217" s="345">
        <f>IF(AF217="","",AF217)</f>
        <v>0</v>
      </c>
      <c r="H217" s="75" t="str">
        <f t="shared" ref="H217:H230" si="240">IF(AG217=0,"",AG217)</f>
        <v/>
      </c>
      <c r="I217" s="345">
        <f>IF(AH217="","",AH217)</f>
        <v>0</v>
      </c>
      <c r="J217" s="75" t="str">
        <f t="shared" ref="J217:J230" si="241">IF(AI217=0,"",AI217)</f>
        <v/>
      </c>
      <c r="K217" s="345">
        <f>IF(AJ217="","",AJ217)</f>
        <v>0</v>
      </c>
      <c r="L217" s="75" t="str">
        <f t="shared" ref="L217:L230" si="242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3">IF(AO217=0,"",AO217)</f>
        <v/>
      </c>
      <c r="Q217" s="345">
        <f>IF(AP217="","",AP217)</f>
        <v>0</v>
      </c>
      <c r="R217" s="75" t="str">
        <f t="shared" ref="R217:R230" si="244">IF(AQ217=0,"",AQ217)</f>
        <v/>
      </c>
      <c r="S217" s="345">
        <f>IF(AR217="","",AR217)</f>
        <v>0</v>
      </c>
      <c r="T217" s="75" t="str">
        <f t="shared" ref="T217:T230" si="245">IF(AS217=0,"",AS217)</f>
        <v/>
      </c>
      <c r="U217" s="345">
        <f>IF(AT217="","",AT217)</f>
        <v>0</v>
      </c>
      <c r="V217" s="75" t="str">
        <f t="shared" ref="V217:V230" si="246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74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 t="str">
        <f t="shared" ref="N218:N230" si="259">IF(AM218=0,"",AM218)</f>
        <v/>
      </c>
      <c r="O218" s="346"/>
      <c r="P218" s="78" t="str">
        <f t="shared" si="243"/>
        <v/>
      </c>
      <c r="Q218" s="346"/>
      <c r="R218" s="78" t="str">
        <f t="shared" si="244"/>
        <v/>
      </c>
      <c r="S218" s="346"/>
      <c r="T218" s="78" t="str">
        <f t="shared" si="245"/>
        <v/>
      </c>
      <c r="U218" s="346"/>
      <c r="V218" s="78" t="str">
        <f t="shared" si="246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EPA München 1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EPA München 1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73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5">
        <f>IF(AD220="","",AD220)</f>
        <v>0</v>
      </c>
      <c r="F220" s="75" t="str">
        <f t="shared" si="239"/>
        <v/>
      </c>
      <c r="G220" s="345">
        <f>IF(AF220="","",AF220)</f>
        <v>0</v>
      </c>
      <c r="H220" s="75" t="str">
        <f t="shared" si="240"/>
        <v/>
      </c>
      <c r="I220" s="345">
        <f>IF(AH220="","",AH220)</f>
        <v>0</v>
      </c>
      <c r="J220" s="75" t="str">
        <f t="shared" si="241"/>
        <v/>
      </c>
      <c r="K220" s="345">
        <f>IF(AJ220="","",AJ220)</f>
        <v>0</v>
      </c>
      <c r="L220" s="75" t="str">
        <f t="shared" si="242"/>
        <v/>
      </c>
      <c r="M220" s="345">
        <f>IF(AL220="","",AL220)</f>
        <v>0</v>
      </c>
      <c r="N220" s="75" t="str">
        <f t="shared" si="259"/>
        <v/>
      </c>
      <c r="O220" s="345">
        <f>IF(AN220="","",AN220)</f>
        <v>0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0</v>
      </c>
      <c r="T220" s="75" t="str">
        <f t="shared" si="245"/>
        <v/>
      </c>
      <c r="U220" s="345">
        <f>IF(AT220="","",AT220)</f>
        <v>0</v>
      </c>
      <c r="V220" s="75" t="str">
        <f t="shared" si="246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EPA München 1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74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6"/>
      <c r="F221" s="78" t="str">
        <f t="shared" si="239"/>
        <v/>
      </c>
      <c r="G221" s="346"/>
      <c r="H221" s="78" t="str">
        <f t="shared" si="240"/>
        <v/>
      </c>
      <c r="I221" s="346"/>
      <c r="J221" s="78" t="str">
        <f t="shared" si="241"/>
        <v/>
      </c>
      <c r="K221" s="346"/>
      <c r="L221" s="78" t="str">
        <f t="shared" si="242"/>
        <v/>
      </c>
      <c r="M221" s="346"/>
      <c r="N221" s="78" t="str">
        <f t="shared" si="259"/>
        <v/>
      </c>
      <c r="O221" s="346"/>
      <c r="P221" s="78" t="str">
        <f t="shared" si="243"/>
        <v/>
      </c>
      <c r="Q221" s="346"/>
      <c r="R221" s="78" t="str">
        <f t="shared" si="244"/>
        <v/>
      </c>
      <c r="S221" s="346"/>
      <c r="T221" s="78" t="str">
        <f t="shared" si="245"/>
        <v/>
      </c>
      <c r="U221" s="346"/>
      <c r="V221" s="78" t="str">
        <f t="shared" si="246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EPA München 1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75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 t="str">
        <f t="shared" si="245"/>
        <v/>
      </c>
      <c r="U222" s="347"/>
      <c r="V222" s="69" t="str">
        <f t="shared" si="246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EPA München 1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73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5">
        <f>IF(AD223="","",AD223)</f>
        <v>0</v>
      </c>
      <c r="F223" s="75" t="str">
        <f t="shared" si="239"/>
        <v/>
      </c>
      <c r="G223" s="345">
        <f>IF(AF223="","",AF223)</f>
        <v>0</v>
      </c>
      <c r="H223" s="75" t="str">
        <f t="shared" si="240"/>
        <v/>
      </c>
      <c r="I223" s="345">
        <f>IF(AH223="","",AH223)</f>
        <v>0</v>
      </c>
      <c r="J223" s="75" t="str">
        <f t="shared" si="241"/>
        <v/>
      </c>
      <c r="K223" s="345">
        <f>IF(AJ223="","",AJ223)</f>
        <v>0</v>
      </c>
      <c r="L223" s="75" t="str">
        <f t="shared" si="242"/>
        <v/>
      </c>
      <c r="M223" s="345">
        <f>IF(AL223="","",AL223)</f>
        <v>0</v>
      </c>
      <c r="N223" s="75" t="str">
        <f t="shared" si="259"/>
        <v/>
      </c>
      <c r="O223" s="345">
        <f>IF(AN223="","",AN223)</f>
        <v>0</v>
      </c>
      <c r="P223" s="75" t="str">
        <f t="shared" si="243"/>
        <v/>
      </c>
      <c r="Q223" s="345">
        <f>IF(AP223="","",AP223)</f>
        <v>0</v>
      </c>
      <c r="R223" s="75" t="str">
        <f t="shared" si="244"/>
        <v/>
      </c>
      <c r="S223" s="345">
        <f>IF(AR223="","",AR223)</f>
        <v>0</v>
      </c>
      <c r="T223" s="75" t="str">
        <f t="shared" si="245"/>
        <v/>
      </c>
      <c r="U223" s="345">
        <f>IF(AT223="","",AT223)</f>
        <v>0</v>
      </c>
      <c r="V223" s="75" t="str">
        <f t="shared" si="246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EPA München 1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EPA München 1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EPA München 1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73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5">
        <f>IF(AD226="","",AD226)</f>
        <v>0</v>
      </c>
      <c r="F226" s="75" t="str">
        <f t="shared" si="239"/>
        <v/>
      </c>
      <c r="G226" s="345">
        <f>IF(AF226="","",AF226)</f>
        <v>0</v>
      </c>
      <c r="H226" s="75" t="str">
        <f t="shared" si="240"/>
        <v/>
      </c>
      <c r="I226" s="345">
        <f>IF(AH226="","",AH226)</f>
        <v>0</v>
      </c>
      <c r="J226" s="75" t="str">
        <f t="shared" si="241"/>
        <v/>
      </c>
      <c r="K226" s="345">
        <f>IF(AJ226="","",AJ226)</f>
        <v>0</v>
      </c>
      <c r="L226" s="75" t="str">
        <f t="shared" si="242"/>
        <v/>
      </c>
      <c r="M226" s="345">
        <f>IF(AL226="","",AL226)</f>
        <v>0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0</v>
      </c>
      <c r="T226" s="75" t="str">
        <f t="shared" si="245"/>
        <v/>
      </c>
      <c r="U226" s="345">
        <f>IF(AT226="","",AT226)</f>
        <v>0</v>
      </c>
      <c r="V226" s="75" t="str">
        <f t="shared" si="246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EPA München 1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 t="str">
        <f t="shared" si="241"/>
        <v/>
      </c>
      <c r="K227" s="346"/>
      <c r="L227" s="78" t="str">
        <f t="shared" si="242"/>
        <v/>
      </c>
      <c r="M227" s="346"/>
      <c r="N227" s="78" t="str">
        <f t="shared" si="259"/>
        <v/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 t="str">
        <f t="shared" si="246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EPA München 1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 t="str">
        <f t="shared" si="243"/>
        <v/>
      </c>
      <c r="Q228" s="347"/>
      <c r="R228" s="69" t="str">
        <f t="shared" si="244"/>
        <v/>
      </c>
      <c r="S228" s="347"/>
      <c r="T228" s="69" t="str">
        <f t="shared" si="245"/>
        <v/>
      </c>
      <c r="U228" s="347"/>
      <c r="V228" s="69" t="str">
        <f t="shared" si="246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EPA München 1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3</v>
      </c>
      <c r="E232" s="353" t="str">
        <f t="shared" si="270"/>
        <v/>
      </c>
      <c r="F232" s="353">
        <f t="shared" si="270"/>
        <v>7</v>
      </c>
      <c r="G232" s="353" t="str">
        <f t="shared" si="270"/>
        <v/>
      </c>
      <c r="H232" s="353">
        <f t="shared" si="270"/>
        <v>6</v>
      </c>
      <c r="I232" s="353" t="str">
        <f t="shared" si="270"/>
        <v/>
      </c>
      <c r="J232" s="353">
        <f t="shared" si="270"/>
        <v>5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10</v>
      </c>
      <c r="O232" s="353" t="str">
        <f t="shared" si="271"/>
        <v/>
      </c>
      <c r="P232" s="353">
        <f t="shared" si="271"/>
        <v>1</v>
      </c>
      <c r="Q232" s="353" t="str">
        <f t="shared" si="271"/>
        <v/>
      </c>
      <c r="R232" s="353">
        <f t="shared" si="271"/>
        <v>9</v>
      </c>
      <c r="S232" s="353" t="str">
        <f t="shared" si="271"/>
        <v/>
      </c>
      <c r="T232" s="353">
        <f t="shared" si="271"/>
        <v>2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VLOOKUP($AA212,Schlüssel!$A$5:$DG$14,63)</f>
        <v>3</v>
      </c>
      <c r="AD232" s="368"/>
      <c r="AE232" s="367">
        <f>VLOOKUP($AA212,Schlüssel!$A$5:$EK$14,64)</f>
        <v>7</v>
      </c>
      <c r="AF232" s="368"/>
      <c r="AG232" s="367">
        <f>VLOOKUP($AA212,Schlüssel!$A$5:$EK$14,65)</f>
        <v>6</v>
      </c>
      <c r="AH232" s="368"/>
      <c r="AI232" s="367">
        <f>VLOOKUP($AA212,Schlüssel!$A$5:$EK$14,66)</f>
        <v>5</v>
      </c>
      <c r="AJ232" s="368"/>
      <c r="AK232" s="367">
        <f>VLOOKUP($AA212,Schlüssel!$A$5:$EK$14,67)</f>
        <v>4</v>
      </c>
      <c r="AL232" s="368"/>
      <c r="AM232" s="367">
        <f>VLOOKUP($AA212,Schlüssel!$A$5:$EK$14,68)</f>
        <v>10</v>
      </c>
      <c r="AN232" s="368"/>
      <c r="AO232" s="367">
        <f>VLOOKUP($AA212,Schlüssel!$A$5:$EK$14,69)</f>
        <v>1</v>
      </c>
      <c r="AP232" s="368"/>
      <c r="AQ232" s="367">
        <f>VLOOKUP($AA212,Schlüssel!$A$5:$EK$14,70)</f>
        <v>9</v>
      </c>
      <c r="AR232" s="368"/>
      <c r="AS232" s="367">
        <f>VLOOKUP($AA212,Schlüssel!$A$5:$EK$14,71)</f>
        <v>2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Highroller Rosenheim</v>
      </c>
      <c r="E233" s="356" t="str">
        <f t="shared" si="270"/>
        <v/>
      </c>
      <c r="F233" s="355" t="str">
        <f t="shared" si="270"/>
        <v>Frankenpower Nürnberg</v>
      </c>
      <c r="G233" s="356" t="str">
        <f t="shared" si="270"/>
        <v/>
      </c>
      <c r="H233" s="355" t="str">
        <f t="shared" si="270"/>
        <v>Phönix 03 Lauf</v>
      </c>
      <c r="I233" s="356" t="str">
        <f t="shared" si="270"/>
        <v/>
      </c>
      <c r="J233" s="355" t="str">
        <f t="shared" si="270"/>
        <v xml:space="preserve">Weiß Blau Unterföhring 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>BK München 4</v>
      </c>
      <c r="O233" s="356" t="str">
        <f t="shared" si="271"/>
        <v/>
      </c>
      <c r="P233" s="355" t="str">
        <f t="shared" si="271"/>
        <v>Praetoria Regensburg</v>
      </c>
      <c r="Q233" s="356" t="str">
        <f t="shared" si="271"/>
        <v/>
      </c>
      <c r="R233" s="355" t="str">
        <f t="shared" si="271"/>
        <v>RW Lichtenhof 69 Stein 2</v>
      </c>
      <c r="S233" s="356" t="str">
        <f t="shared" si="271"/>
        <v/>
      </c>
      <c r="T233" s="355" t="str">
        <f t="shared" si="271"/>
        <v>BK München 2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Highroller Rosenheim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Phönix 03 Lauf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>BK München 4</v>
      </c>
      <c r="AN233" s="356"/>
      <c r="AO233" s="355" t="str">
        <f>VLOOKUP(AO232,Schlüssel!$A$5:$K$14,2)</f>
        <v>Praetoria Regensburg</v>
      </c>
      <c r="AP233" s="356"/>
      <c r="AQ233" s="355" t="str">
        <f>VLOOKUP(AQ232,Schlüssel!$A$5:$K$14,2)</f>
        <v>RW Lichtenhof 69 Stein 2</v>
      </c>
      <c r="AR233" s="356"/>
      <c r="AS233" s="355" t="str">
        <f>VLOOKUP(AS232,Schlüssel!$A$5:$K$14,2)</f>
        <v>BK München 2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15.02./16.02.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15.02./16.02.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Nürnberg West Bowling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3">IF(AE247=0,"",AE247)</f>
        <v/>
      </c>
      <c r="G247" s="345">
        <f>IF(AF247="","",AF247)</f>
        <v>0</v>
      </c>
      <c r="H247" s="75" t="str">
        <f t="shared" ref="H247:H260" si="274">IF(AG247=0,"",AG247)</f>
        <v/>
      </c>
      <c r="I247" s="345">
        <f>IF(AH247="","",AH247)</f>
        <v>0</v>
      </c>
      <c r="J247" s="75" t="str">
        <f t="shared" ref="J247:J260" si="275">IF(AI247=0,"",AI247)</f>
        <v/>
      </c>
      <c r="K247" s="345">
        <f>IF(AJ247="","",AJ247)</f>
        <v>0</v>
      </c>
      <c r="L247" s="75" t="str">
        <f t="shared" ref="L247:L260" si="276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77">IF(AO247=0,"",AO247)</f>
        <v/>
      </c>
      <c r="Q247" s="345">
        <f>IF(AP247="","",AP247)</f>
        <v>0</v>
      </c>
      <c r="R247" s="75" t="str">
        <f t="shared" ref="R247:R260" si="278">IF(AQ247=0,"",AQ247)</f>
        <v/>
      </c>
      <c r="S247" s="345">
        <f>IF(AR247="","",AR247)</f>
        <v>0</v>
      </c>
      <c r="T247" s="75" t="str">
        <f t="shared" ref="T247:T260" si="279">IF(AS247=0,"",AS247)</f>
        <v/>
      </c>
      <c r="U247" s="345">
        <f>IF(AT247="","",AT247)</f>
        <v>0</v>
      </c>
      <c r="V247" s="75" t="str">
        <f t="shared" ref="V247:V260" si="280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RW Lichtenhof 69 Stein 2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RW Lichtenhof 69 Stein 2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73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5">
        <f>IF(AD250="","",AD250)</f>
        <v>0</v>
      </c>
      <c r="F250" s="75" t="str">
        <f t="shared" si="273"/>
        <v/>
      </c>
      <c r="G250" s="345">
        <f>IF(AF250="","",AF250)</f>
        <v>0</v>
      </c>
      <c r="H250" s="75" t="str">
        <f t="shared" si="274"/>
        <v/>
      </c>
      <c r="I250" s="345">
        <f>IF(AH250="","",AH250)</f>
        <v>0</v>
      </c>
      <c r="J250" s="75" t="str">
        <f t="shared" si="275"/>
        <v/>
      </c>
      <c r="K250" s="345">
        <f>IF(AJ250="","",AJ250)</f>
        <v>0</v>
      </c>
      <c r="L250" s="75" t="str">
        <f t="shared" si="276"/>
        <v/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 t="str">
        <f t="shared" si="280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RW Lichtenhof 69 Stein 2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74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6"/>
      <c r="F251" s="78" t="str">
        <f t="shared" si="273"/>
        <v/>
      </c>
      <c r="G251" s="346"/>
      <c r="H251" s="78" t="str">
        <f t="shared" si="274"/>
        <v/>
      </c>
      <c r="I251" s="346"/>
      <c r="J251" s="78" t="str">
        <f t="shared" si="275"/>
        <v/>
      </c>
      <c r="K251" s="346"/>
      <c r="L251" s="78" t="str">
        <f t="shared" si="276"/>
        <v/>
      </c>
      <c r="M251" s="346"/>
      <c r="N251" s="78" t="str">
        <f t="shared" si="293"/>
        <v/>
      </c>
      <c r="O251" s="346"/>
      <c r="P251" s="78" t="str">
        <f t="shared" si="277"/>
        <v/>
      </c>
      <c r="Q251" s="346"/>
      <c r="R251" s="78" t="str">
        <f t="shared" si="278"/>
        <v/>
      </c>
      <c r="S251" s="346"/>
      <c r="T251" s="78" t="str">
        <f t="shared" si="279"/>
        <v/>
      </c>
      <c r="U251" s="346"/>
      <c r="V251" s="78" t="str">
        <f t="shared" si="280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RW Lichtenhof 69 Stein 2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RW Lichtenhof 69 Stein 2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73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5">
        <f>IF(AD253="","",AD253)</f>
        <v>0</v>
      </c>
      <c r="F253" s="75" t="str">
        <f t="shared" si="273"/>
        <v/>
      </c>
      <c r="G253" s="345">
        <f>IF(AF253="","",AF253)</f>
        <v>0</v>
      </c>
      <c r="H253" s="75" t="str">
        <f t="shared" si="274"/>
        <v/>
      </c>
      <c r="I253" s="345">
        <f>IF(AH253="","",AH253)</f>
        <v>0</v>
      </c>
      <c r="J253" s="75" t="str">
        <f t="shared" si="275"/>
        <v/>
      </c>
      <c r="K253" s="345">
        <f>IF(AJ253="","",AJ253)</f>
        <v>0</v>
      </c>
      <c r="L253" s="75" t="str">
        <f t="shared" si="276"/>
        <v/>
      </c>
      <c r="M253" s="345">
        <f>IF(AL253="","",AL253)</f>
        <v>0</v>
      </c>
      <c r="N253" s="75" t="str">
        <f t="shared" si="293"/>
        <v/>
      </c>
      <c r="O253" s="345">
        <f>IF(AN253="","",AN253)</f>
        <v>0</v>
      </c>
      <c r="P253" s="75" t="str">
        <f t="shared" si="277"/>
        <v/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0</v>
      </c>
      <c r="V253" s="75" t="str">
        <f t="shared" si="280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RW Lichtenhof 69 Stein 2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74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 t="str">
        <f t="shared" si="278"/>
        <v/>
      </c>
      <c r="S254" s="346"/>
      <c r="T254" s="78" t="str">
        <f t="shared" si="279"/>
        <v/>
      </c>
      <c r="U254" s="346"/>
      <c r="V254" s="78" t="str">
        <f t="shared" si="280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RW Lichtenhof 69 Stein 2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RW Lichtenhof 69 Stein 2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73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5">
        <f>IF(AD256="","",AD256)</f>
        <v>0</v>
      </c>
      <c r="F256" s="75" t="str">
        <f t="shared" si="273"/>
        <v/>
      </c>
      <c r="G256" s="345">
        <f>IF(AF256="","",AF256)</f>
        <v>0</v>
      </c>
      <c r="H256" s="75" t="str">
        <f t="shared" si="274"/>
        <v/>
      </c>
      <c r="I256" s="345">
        <f>IF(AH256="","",AH256)</f>
        <v>0</v>
      </c>
      <c r="J256" s="75" t="str">
        <f t="shared" si="275"/>
        <v/>
      </c>
      <c r="K256" s="345">
        <f>IF(AJ256="","",AJ256)</f>
        <v>0</v>
      </c>
      <c r="L256" s="75" t="str">
        <f t="shared" si="276"/>
        <v/>
      </c>
      <c r="M256" s="345">
        <f>IF(AL256="","",AL256)</f>
        <v>0</v>
      </c>
      <c r="N256" s="75" t="str">
        <f t="shared" si="293"/>
        <v/>
      </c>
      <c r="O256" s="345">
        <f>IF(AN256="","",AN256)</f>
        <v>0</v>
      </c>
      <c r="P256" s="75" t="str">
        <f t="shared" si="277"/>
        <v/>
      </c>
      <c r="Q256" s="345">
        <f>IF(AP256="","",AP256)</f>
        <v>0</v>
      </c>
      <c r="R256" s="75" t="str">
        <f t="shared" si="278"/>
        <v/>
      </c>
      <c r="S256" s="345">
        <f>IF(AR256="","",AR256)</f>
        <v>0</v>
      </c>
      <c r="T256" s="75" t="str">
        <f t="shared" si="279"/>
        <v/>
      </c>
      <c r="U256" s="345">
        <f>IF(AT256="","",AT256)</f>
        <v>0</v>
      </c>
      <c r="V256" s="75" t="str">
        <f t="shared" si="280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RW Lichtenhof 69 Stein 2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RW Lichtenhof 69 Stein 2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RW Lichtenhof 69 Stein 2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6</v>
      </c>
      <c r="E262" s="353" t="str">
        <f t="shared" si="304"/>
        <v/>
      </c>
      <c r="F262" s="353">
        <f t="shared" si="304"/>
        <v>1</v>
      </c>
      <c r="G262" s="353" t="str">
        <f t="shared" si="304"/>
        <v/>
      </c>
      <c r="H262" s="353">
        <f t="shared" si="304"/>
        <v>2</v>
      </c>
      <c r="I262" s="353" t="str">
        <f t="shared" si="304"/>
        <v/>
      </c>
      <c r="J262" s="353">
        <f t="shared" si="304"/>
        <v>10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5</v>
      </c>
      <c r="O262" s="353" t="str">
        <f t="shared" si="305"/>
        <v/>
      </c>
      <c r="P262" s="353">
        <f t="shared" si="305"/>
        <v>4</v>
      </c>
      <c r="Q262" s="353" t="str">
        <f t="shared" si="305"/>
        <v/>
      </c>
      <c r="R262" s="353">
        <f t="shared" si="305"/>
        <v>8</v>
      </c>
      <c r="S262" s="353" t="str">
        <f t="shared" si="305"/>
        <v/>
      </c>
      <c r="T262" s="353">
        <f t="shared" si="305"/>
        <v>7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VLOOKUP($AA242,Schlüssel!$A$5:$DG$14,63)</f>
        <v>6</v>
      </c>
      <c r="AD262" s="368"/>
      <c r="AE262" s="367">
        <f>VLOOKUP($AA242,Schlüssel!$A$5:$EK$14,64)</f>
        <v>1</v>
      </c>
      <c r="AF262" s="368"/>
      <c r="AG262" s="367">
        <f>VLOOKUP($AA242,Schlüssel!$A$5:$EK$14,65)</f>
        <v>2</v>
      </c>
      <c r="AH262" s="368"/>
      <c r="AI262" s="367">
        <f>VLOOKUP($AA242,Schlüssel!$A$5:$EK$14,66)</f>
        <v>10</v>
      </c>
      <c r="AJ262" s="368"/>
      <c r="AK262" s="367">
        <f>VLOOKUP($AA242,Schlüssel!$A$5:$EK$14,67)</f>
        <v>3</v>
      </c>
      <c r="AL262" s="368"/>
      <c r="AM262" s="367">
        <f>VLOOKUP($AA242,Schlüssel!$A$5:$EK$14,68)</f>
        <v>5</v>
      </c>
      <c r="AN262" s="368"/>
      <c r="AO262" s="367">
        <f>VLOOKUP($AA242,Schlüssel!$A$5:$EK$14,69)</f>
        <v>4</v>
      </c>
      <c r="AP262" s="368"/>
      <c r="AQ262" s="367">
        <f>VLOOKUP($AA242,Schlüssel!$A$5:$EK$14,70)</f>
        <v>8</v>
      </c>
      <c r="AR262" s="368"/>
      <c r="AS262" s="367">
        <f>VLOOKUP($AA242,Schlüssel!$A$5:$EK$14,71)</f>
        <v>7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Phönix 03 Lauf</v>
      </c>
      <c r="E263" s="356" t="str">
        <f t="shared" si="304"/>
        <v/>
      </c>
      <c r="F263" s="355" t="str">
        <f t="shared" si="304"/>
        <v>Praetoria Regensburg</v>
      </c>
      <c r="G263" s="356" t="str">
        <f t="shared" si="304"/>
        <v/>
      </c>
      <c r="H263" s="355" t="str">
        <f t="shared" si="304"/>
        <v>BK München 2</v>
      </c>
      <c r="I263" s="356" t="str">
        <f t="shared" si="304"/>
        <v/>
      </c>
      <c r="J263" s="355" t="str">
        <f t="shared" si="304"/>
        <v>BK München 4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 xml:space="preserve">Weiß Blau Unterföhring </v>
      </c>
      <c r="O263" s="356" t="str">
        <f t="shared" si="305"/>
        <v/>
      </c>
      <c r="P263" s="355" t="str">
        <f t="shared" si="305"/>
        <v>BK München 3</v>
      </c>
      <c r="Q263" s="356" t="str">
        <f t="shared" si="305"/>
        <v/>
      </c>
      <c r="R263" s="355" t="str">
        <f t="shared" si="305"/>
        <v>EPA München 1</v>
      </c>
      <c r="S263" s="356" t="str">
        <f t="shared" si="305"/>
        <v/>
      </c>
      <c r="T263" s="355" t="str">
        <f t="shared" si="305"/>
        <v>Frankenpower Nürnberg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Phönix 03 Lauf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2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 xml:space="preserve">Weiß Blau Unterföhring 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EPA München 1</v>
      </c>
      <c r="AR263" s="356"/>
      <c r="AS263" s="355" t="str">
        <f>VLOOKUP(AS262,Schlüssel!$A$5:$K$14,2)</f>
        <v>Frankenpower Nürnberg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15.02./16.02.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15.02./16.02.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Nürnberg West Bowling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07">IF(AE277=0,"",AE277)</f>
        <v/>
      </c>
      <c r="G277" s="345">
        <f>IF(AF277="","",AF277)</f>
        <v>0</v>
      </c>
      <c r="H277" s="75" t="str">
        <f t="shared" ref="H277:H290" si="308">IF(AG277=0,"",AG277)</f>
        <v/>
      </c>
      <c r="I277" s="345">
        <f>IF(AH277="","",AH277)</f>
        <v>0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0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 t="str">
        <f t="shared" ref="V277:V290" si="314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74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6"/>
      <c r="F278" s="78" t="str">
        <f t="shared" si="307"/>
        <v/>
      </c>
      <c r="G278" s="346"/>
      <c r="H278" s="78" t="str">
        <f t="shared" si="308"/>
        <v/>
      </c>
      <c r="I278" s="346"/>
      <c r="J278" s="78" t="str">
        <f t="shared" si="309"/>
        <v/>
      </c>
      <c r="K278" s="346"/>
      <c r="L278" s="78" t="str">
        <f t="shared" si="310"/>
        <v/>
      </c>
      <c r="M278" s="346"/>
      <c r="N278" s="78" t="str">
        <f t="shared" ref="N278:N290" si="327">IF(AM278=0,"",AM278)</f>
        <v/>
      </c>
      <c r="O278" s="346"/>
      <c r="P278" s="78" t="str">
        <f t="shared" si="311"/>
        <v/>
      </c>
      <c r="Q278" s="346"/>
      <c r="R278" s="78" t="str">
        <f t="shared" si="312"/>
        <v/>
      </c>
      <c r="S278" s="346"/>
      <c r="T278" s="78" t="str">
        <f t="shared" si="313"/>
        <v/>
      </c>
      <c r="U278" s="346"/>
      <c r="V278" s="78" t="str">
        <f t="shared" si="314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BK München 4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BK München 4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73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5">
        <f>IF(AD280="","",AD280)</f>
        <v>0</v>
      </c>
      <c r="F280" s="75" t="str">
        <f t="shared" si="307"/>
        <v/>
      </c>
      <c r="G280" s="345">
        <f>IF(AF280="","",AF280)</f>
        <v>0</v>
      </c>
      <c r="H280" s="75" t="str">
        <f t="shared" si="308"/>
        <v/>
      </c>
      <c r="I280" s="345">
        <f>IF(AH280="","",AH280)</f>
        <v>0</v>
      </c>
      <c r="J280" s="75" t="str">
        <f t="shared" si="309"/>
        <v/>
      </c>
      <c r="K280" s="345">
        <f>IF(AJ280="","",AJ280)</f>
        <v>0</v>
      </c>
      <c r="L280" s="75" t="str">
        <f t="shared" si="310"/>
        <v/>
      </c>
      <c r="M280" s="345">
        <f>IF(AL280="","",AL280)</f>
        <v>0</v>
      </c>
      <c r="N280" s="75" t="str">
        <f t="shared" si="327"/>
        <v/>
      </c>
      <c r="O280" s="345">
        <f>IF(AN280="","",AN280)</f>
        <v>0</v>
      </c>
      <c r="P280" s="75" t="str">
        <f t="shared" si="311"/>
        <v/>
      </c>
      <c r="Q280" s="345">
        <f>IF(AP280="","",AP280)</f>
        <v>0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 t="str">
        <f t="shared" si="314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BK München 4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74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 t="str">
        <f t="shared" si="311"/>
        <v/>
      </c>
      <c r="Q281" s="346"/>
      <c r="R281" s="78" t="str">
        <f t="shared" si="312"/>
        <v/>
      </c>
      <c r="S281" s="346"/>
      <c r="T281" s="78" t="str">
        <f t="shared" si="313"/>
        <v/>
      </c>
      <c r="U281" s="346"/>
      <c r="V281" s="78" t="str">
        <f t="shared" si="314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BK München 4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BK München 4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73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5">
        <f>IF(AD283="","",AD283)</f>
        <v>0</v>
      </c>
      <c r="F283" s="75" t="str">
        <f t="shared" si="307"/>
        <v/>
      </c>
      <c r="G283" s="345">
        <f>IF(AF283="","",AF283)</f>
        <v>0</v>
      </c>
      <c r="H283" s="75" t="str">
        <f t="shared" si="308"/>
        <v/>
      </c>
      <c r="I283" s="345">
        <f>IF(AH283="","",AH283)</f>
        <v>0</v>
      </c>
      <c r="J283" s="75" t="str">
        <f t="shared" si="309"/>
        <v/>
      </c>
      <c r="K283" s="345">
        <f>IF(AJ283="","",AJ283)</f>
        <v>0</v>
      </c>
      <c r="L283" s="75" t="str">
        <f t="shared" si="310"/>
        <v/>
      </c>
      <c r="M283" s="345">
        <f>IF(AL283="","",AL283)</f>
        <v>0</v>
      </c>
      <c r="N283" s="75" t="str">
        <f t="shared" si="327"/>
        <v/>
      </c>
      <c r="O283" s="345">
        <f>IF(AN283="","",AN283)</f>
        <v>0</v>
      </c>
      <c r="P283" s="75" t="str">
        <f t="shared" si="311"/>
        <v/>
      </c>
      <c r="Q283" s="345">
        <f>IF(AP283="","",AP283)</f>
        <v>0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0</v>
      </c>
      <c r="V283" s="75" t="str">
        <f t="shared" si="314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BK München 4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74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 t="str">
        <f t="shared" si="309"/>
        <v/>
      </c>
      <c r="K284" s="346"/>
      <c r="L284" s="78" t="str">
        <f t="shared" si="310"/>
        <v/>
      </c>
      <c r="M284" s="346"/>
      <c r="N284" s="78" t="str">
        <f t="shared" si="327"/>
        <v/>
      </c>
      <c r="O284" s="346"/>
      <c r="P284" s="78" t="str">
        <f t="shared" si="311"/>
        <v/>
      </c>
      <c r="Q284" s="346"/>
      <c r="R284" s="78" t="str">
        <f t="shared" si="312"/>
        <v/>
      </c>
      <c r="S284" s="346"/>
      <c r="T284" s="78" t="str">
        <f t="shared" si="313"/>
        <v/>
      </c>
      <c r="U284" s="346"/>
      <c r="V284" s="78" t="str">
        <f t="shared" si="314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BK München 4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BK München 4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73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5">
        <f>IF(AD286="","",AD286)</f>
        <v>0</v>
      </c>
      <c r="F286" s="75" t="str">
        <f t="shared" si="307"/>
        <v/>
      </c>
      <c r="G286" s="345">
        <f>IF(AF286="","",AF286)</f>
        <v>0</v>
      </c>
      <c r="H286" s="75" t="str">
        <f t="shared" si="308"/>
        <v/>
      </c>
      <c r="I286" s="345">
        <f>IF(AH286="","",AH286)</f>
        <v>0</v>
      </c>
      <c r="J286" s="75" t="str">
        <f t="shared" si="309"/>
        <v/>
      </c>
      <c r="K286" s="345">
        <f>IF(AJ286="","",AJ286)</f>
        <v>0</v>
      </c>
      <c r="L286" s="75" t="str">
        <f t="shared" si="310"/>
        <v/>
      </c>
      <c r="M286" s="345">
        <f>IF(AL286="","",AL286)</f>
        <v>0</v>
      </c>
      <c r="N286" s="75" t="str">
        <f t="shared" si="327"/>
        <v/>
      </c>
      <c r="O286" s="345">
        <f>IF(AN286="","",AN286)</f>
        <v>0</v>
      </c>
      <c r="P286" s="75" t="str">
        <f t="shared" si="311"/>
        <v/>
      </c>
      <c r="Q286" s="345">
        <f>IF(AP286="","",AP286)</f>
        <v>0</v>
      </c>
      <c r="R286" s="75" t="str">
        <f t="shared" si="312"/>
        <v/>
      </c>
      <c r="S286" s="345">
        <f>IF(AR286="","",AR286)</f>
        <v>0</v>
      </c>
      <c r="T286" s="75" t="str">
        <f t="shared" si="313"/>
        <v/>
      </c>
      <c r="U286" s="345">
        <f>IF(AT286="","",AT286)</f>
        <v>0</v>
      </c>
      <c r="V286" s="75" t="str">
        <f t="shared" si="314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BK München 4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BK München 4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1</v>
      </c>
      <c r="E292" s="353" t="str">
        <f t="shared" si="338"/>
        <v/>
      </c>
      <c r="F292" s="353">
        <f t="shared" si="338"/>
        <v>6</v>
      </c>
      <c r="G292" s="353" t="str">
        <f t="shared" si="338"/>
        <v/>
      </c>
      <c r="H292" s="353">
        <f t="shared" si="338"/>
        <v>4</v>
      </c>
      <c r="I292" s="353" t="str">
        <f t="shared" si="338"/>
        <v/>
      </c>
      <c r="J292" s="353">
        <f t="shared" si="338"/>
        <v>9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8</v>
      </c>
      <c r="O292" s="353" t="str">
        <f t="shared" si="339"/>
        <v/>
      </c>
      <c r="P292" s="353">
        <f t="shared" si="339"/>
        <v>7</v>
      </c>
      <c r="Q292" s="353" t="str">
        <f t="shared" si="339"/>
        <v/>
      </c>
      <c r="R292" s="353">
        <f t="shared" si="339"/>
        <v>2</v>
      </c>
      <c r="S292" s="353" t="str">
        <f t="shared" si="339"/>
        <v/>
      </c>
      <c r="T292" s="353">
        <f t="shared" si="339"/>
        <v>3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VLOOKUP($AA272,Schlüssel!$A$5:$DG$14,63)</f>
        <v>1</v>
      </c>
      <c r="AD292" s="368"/>
      <c r="AE292" s="367">
        <f>VLOOKUP($AA272,Schlüssel!$A$5:$EK$14,64)</f>
        <v>6</v>
      </c>
      <c r="AF292" s="368"/>
      <c r="AG292" s="367">
        <f>VLOOKUP($AA272,Schlüssel!$A$5:$EK$14,65)</f>
        <v>4</v>
      </c>
      <c r="AH292" s="368"/>
      <c r="AI292" s="367">
        <f>VLOOKUP($AA272,Schlüssel!$A$5:$EK$14,66)</f>
        <v>9</v>
      </c>
      <c r="AJ292" s="368"/>
      <c r="AK292" s="367">
        <f>VLOOKUP($AA272,Schlüssel!$A$5:$EK$14,67)</f>
        <v>5</v>
      </c>
      <c r="AL292" s="368"/>
      <c r="AM292" s="367">
        <f>VLOOKUP($AA272,Schlüssel!$A$5:$EK$14,68)</f>
        <v>8</v>
      </c>
      <c r="AN292" s="368"/>
      <c r="AO292" s="367">
        <f>VLOOKUP($AA272,Schlüssel!$A$5:$EK$14,69)</f>
        <v>7</v>
      </c>
      <c r="AP292" s="368"/>
      <c r="AQ292" s="367">
        <f>VLOOKUP($AA272,Schlüssel!$A$5:$EK$14,70)</f>
        <v>2</v>
      </c>
      <c r="AR292" s="368"/>
      <c r="AS292" s="367">
        <f>VLOOKUP($AA272,Schlüssel!$A$5:$EK$14,71)</f>
        <v>3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Praetoria Regensburg</v>
      </c>
      <c r="E293" s="356" t="str">
        <f t="shared" si="338"/>
        <v/>
      </c>
      <c r="F293" s="355" t="str">
        <f t="shared" si="338"/>
        <v>Phönix 03 Lauf</v>
      </c>
      <c r="G293" s="356" t="str">
        <f t="shared" si="338"/>
        <v/>
      </c>
      <c r="H293" s="355" t="str">
        <f t="shared" si="338"/>
        <v>BK München 3</v>
      </c>
      <c r="I293" s="356" t="str">
        <f t="shared" si="338"/>
        <v/>
      </c>
      <c r="J293" s="355" t="str">
        <f t="shared" si="338"/>
        <v>RW Lichtenhof 69 Stein 2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EPA München 1</v>
      </c>
      <c r="O293" s="356" t="str">
        <f t="shared" si="339"/>
        <v/>
      </c>
      <c r="P293" s="355" t="str">
        <f t="shared" si="339"/>
        <v>Frankenpower Nürnberg</v>
      </c>
      <c r="Q293" s="356" t="str">
        <f t="shared" si="339"/>
        <v/>
      </c>
      <c r="R293" s="355" t="str">
        <f t="shared" si="339"/>
        <v>BK München 2</v>
      </c>
      <c r="S293" s="356" t="str">
        <f t="shared" si="339"/>
        <v/>
      </c>
      <c r="T293" s="355" t="str">
        <f t="shared" si="339"/>
        <v>Highroller Rosenheim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Praetoria Regensburg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BK München 3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EPA München 1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BK München 2</v>
      </c>
      <c r="AR293" s="356"/>
      <c r="AS293" s="355" t="str">
        <f>VLOOKUP(AS292,Schlüssel!$A$5:$K$14,2)</f>
        <v>Highroller Rosenheim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+Erfassung4!AE2</f>
        <v>Nürnberg West Bowling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 t="e">
        <f>INDEX(TabGes3!I:I,MATCH($B7,TabGes3!$B:$B,0))+U7</f>
        <v>#N/A</v>
      </c>
      <c r="AB7" s="225" t="e">
        <f>INDEX(TabGes3!J:J,MATCH($B7,TabGes3!$B:$B,0))+V7</f>
        <v>#N/A</v>
      </c>
      <c r="AC7" s="215" t="e">
        <f t="shared" ref="AC7:AC16" si="1">+AB7+AA7/1000000000</f>
        <v>#N/A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72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Praetoria Regensburg</v>
      </c>
      <c r="N21" s="133">
        <f>IFERROR(ROUND(INDEX(Erfassung4!BT:BT,MATCH(1,Erfassung4!BV:BV,0)),0),"")</f>
        <v>0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Praetoria Regensburg</v>
      </c>
      <c r="N24" s="381" t="str">
        <f>IFERROR(ROUND(INDEX(Erfassung4!BW:BW,MATCH(1,Erfassung4!BZ:BZ,0)),0),"")&amp;"  /  "&amp;ROUND(IFERROR(ROUND(INDEX(Erfassung4!BW:BW,MATCH(1,Erfassung4!BZ:BZ,0)),0),"")/9,2)</f>
        <v>0  /  0</v>
      </c>
      <c r="O24" s="381"/>
      <c r="P24" s="381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6" t="s">
        <v>1799</v>
      </c>
      <c r="L5" s="377"/>
      <c r="M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5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0" t="s">
        <v>2538</v>
      </c>
      <c r="D1" s="291"/>
      <c r="E1" s="291"/>
      <c r="F1" s="291"/>
      <c r="G1" s="291"/>
      <c r="H1" s="291"/>
      <c r="I1" s="291"/>
      <c r="J1" s="291"/>
      <c r="K1" s="291"/>
      <c r="L1" s="292"/>
      <c r="M1" s="300" t="str">
        <f>VLOOKUP($S$2,Spielorte!$A$1:$C$6,2)</f>
        <v>12.10./13.10.</v>
      </c>
      <c r="N1" s="301"/>
      <c r="O1" s="301"/>
      <c r="P1" s="301"/>
      <c r="Q1" s="301"/>
      <c r="R1" s="301"/>
      <c r="S1" s="301"/>
      <c r="T1" s="301"/>
      <c r="U1" s="301"/>
      <c r="V1" s="302"/>
      <c r="W1" s="303" t="str">
        <f>+C1</f>
        <v>Bayernliga Frauen</v>
      </c>
      <c r="X1" s="291"/>
      <c r="Y1" s="291"/>
      <c r="Z1" s="291"/>
      <c r="AA1" s="291"/>
      <c r="AB1" s="291"/>
      <c r="AC1" s="291"/>
      <c r="AD1" s="291"/>
      <c r="AE1" s="291"/>
      <c r="AF1" s="292"/>
      <c r="AG1" s="300" t="str">
        <f>VLOOKUP($AM$2,Spielorte!$A$1:$C$6,2)</f>
        <v>02.11./03.11.</v>
      </c>
      <c r="AH1" s="301"/>
      <c r="AI1" s="301"/>
      <c r="AJ1" s="301"/>
      <c r="AK1" s="301"/>
      <c r="AL1" s="301"/>
      <c r="AM1" s="301"/>
      <c r="AN1" s="301"/>
      <c r="AO1" s="301"/>
      <c r="AP1" s="302"/>
      <c r="AQ1" s="303" t="str">
        <f>+W1</f>
        <v>Bayernliga Frauen</v>
      </c>
      <c r="AR1" s="291"/>
      <c r="AS1" s="291"/>
      <c r="AT1" s="291"/>
      <c r="AU1" s="291"/>
      <c r="AV1" s="291"/>
      <c r="AW1" s="291"/>
      <c r="AX1" s="291"/>
      <c r="AY1" s="291"/>
      <c r="AZ1" s="292"/>
      <c r="BA1" s="304" t="str">
        <f>VLOOKUP($BG$2,Spielorte!$A$1:$C$6,2)</f>
        <v>01.02./02.02.</v>
      </c>
      <c r="BB1" s="305"/>
      <c r="BC1" s="305"/>
      <c r="BD1" s="305"/>
      <c r="BE1" s="305"/>
      <c r="BF1" s="305"/>
      <c r="BG1" s="305"/>
      <c r="BH1" s="305"/>
      <c r="BI1" s="305"/>
      <c r="BJ1" s="306"/>
      <c r="BK1" s="303" t="str">
        <f>+AQ1</f>
        <v>Bayernliga Frauen</v>
      </c>
      <c r="BL1" s="291"/>
      <c r="BM1" s="291"/>
      <c r="BN1" s="291"/>
      <c r="BO1" s="291"/>
      <c r="BP1" s="291"/>
      <c r="BQ1" s="291"/>
      <c r="BR1" s="291"/>
      <c r="BS1" s="291"/>
      <c r="BT1" s="292"/>
      <c r="BU1" s="304" t="str">
        <f>VLOOKUP($CA$2,Spielorte!$A$1:$C$6,2)</f>
        <v>15.02./16.02.</v>
      </c>
      <c r="BV1" s="305"/>
      <c r="BW1" s="305"/>
      <c r="BX1" s="305"/>
      <c r="BY1" s="305"/>
      <c r="BZ1" s="305"/>
      <c r="CA1" s="305"/>
      <c r="CB1" s="305"/>
      <c r="CC1" s="305"/>
      <c r="CD1" s="306"/>
      <c r="CE1" s="303" t="str">
        <f>+BK1</f>
        <v>Bayernliga Frauen</v>
      </c>
      <c r="CF1" s="291"/>
      <c r="CG1" s="291"/>
      <c r="CH1" s="291"/>
      <c r="CI1" s="291"/>
      <c r="CJ1" s="291"/>
      <c r="CK1" s="291"/>
      <c r="CL1" s="291"/>
      <c r="CM1" s="291"/>
      <c r="CN1" s="292"/>
      <c r="CO1" s="304" t="str">
        <f>VLOOKUP($CU$2,Spielorte!$A$1:$C$6,2)</f>
        <v>15.03./16.03.</v>
      </c>
      <c r="CP1" s="305"/>
      <c r="CQ1" s="305"/>
      <c r="CR1" s="305"/>
      <c r="CS1" s="305"/>
      <c r="CT1" s="305"/>
      <c r="CU1" s="305"/>
      <c r="CV1" s="305"/>
      <c r="CW1" s="305"/>
      <c r="CX1" s="306"/>
      <c r="CY1" s="303" t="str">
        <f>+CE1</f>
        <v>Bayernliga Frauen</v>
      </c>
      <c r="CZ1" s="291"/>
      <c r="DA1" s="291"/>
      <c r="DB1" s="291"/>
      <c r="DC1" s="291"/>
      <c r="DD1" s="291"/>
      <c r="DE1" s="291"/>
      <c r="DF1" s="291"/>
      <c r="DG1" s="291"/>
      <c r="DH1" s="292"/>
      <c r="DI1" s="304" t="str">
        <f>VLOOKUP($DO$2,Spielorte!$A$1:$C$6,2)</f>
        <v>05.04./06.04.</v>
      </c>
      <c r="DJ1" s="305"/>
      <c r="DK1" s="305"/>
      <c r="DL1" s="305"/>
      <c r="DM1" s="305"/>
      <c r="DN1" s="305"/>
      <c r="DO1" s="305"/>
      <c r="DP1" s="305"/>
      <c r="DQ1" s="305"/>
      <c r="DR1" s="306"/>
    </row>
    <row r="2" spans="1:122" ht="24" customHeight="1" x14ac:dyDescent="0.25">
      <c r="C2" s="293" t="str">
        <f>VLOOKUP($S$2,Spielorte!$A$1:$C$6,3)</f>
        <v>Unterföhring Dreambowl Palace</v>
      </c>
      <c r="D2" s="294"/>
      <c r="E2" s="294"/>
      <c r="F2" s="294"/>
      <c r="G2" s="294"/>
      <c r="H2" s="294"/>
      <c r="I2" s="294"/>
      <c r="J2" s="294"/>
      <c r="K2" s="294"/>
      <c r="L2" s="295"/>
      <c r="M2" s="307" t="s">
        <v>1795</v>
      </c>
      <c r="N2" s="308"/>
      <c r="O2" s="308"/>
      <c r="P2" s="308"/>
      <c r="Q2" s="308"/>
      <c r="R2" s="308"/>
      <c r="S2" s="11">
        <v>1</v>
      </c>
      <c r="T2" s="1"/>
      <c r="U2" s="1"/>
      <c r="V2" s="12"/>
      <c r="W2" s="293" t="str">
        <f>VLOOKUP($AM$2,Spielorte!$A$1:$C$6,3)</f>
        <v>Regensburg Super Bowl</v>
      </c>
      <c r="X2" s="294"/>
      <c r="Y2" s="294"/>
      <c r="Z2" s="294"/>
      <c r="AA2" s="294"/>
      <c r="AB2" s="294"/>
      <c r="AC2" s="294"/>
      <c r="AD2" s="294"/>
      <c r="AE2" s="294"/>
      <c r="AF2" s="295"/>
      <c r="AG2" s="307" t="s">
        <v>1795</v>
      </c>
      <c r="AH2" s="308"/>
      <c r="AI2" s="308"/>
      <c r="AJ2" s="308"/>
      <c r="AK2" s="308"/>
      <c r="AL2" s="308"/>
      <c r="AM2" s="11">
        <v>2</v>
      </c>
      <c r="AN2" s="1"/>
      <c r="AO2" s="1"/>
      <c r="AP2" s="12"/>
      <c r="AQ2" s="294" t="str">
        <f>VLOOKUP($BG$2,Spielorte!$A$1:$C$6,3)</f>
        <v>Unterföhring Dreambowl Palace</v>
      </c>
      <c r="AR2" s="294"/>
      <c r="AS2" s="294"/>
      <c r="AT2" s="294"/>
      <c r="AU2" s="294"/>
      <c r="AV2" s="294"/>
      <c r="AW2" s="294"/>
      <c r="AX2" s="294"/>
      <c r="AY2" s="294"/>
      <c r="AZ2" s="295"/>
      <c r="BA2" s="307" t="s">
        <v>1795</v>
      </c>
      <c r="BB2" s="308"/>
      <c r="BC2" s="308"/>
      <c r="BD2" s="308"/>
      <c r="BE2" s="308"/>
      <c r="BF2" s="308"/>
      <c r="BG2" s="11">
        <v>3</v>
      </c>
      <c r="BH2" s="1"/>
      <c r="BI2" s="1"/>
      <c r="BJ2" s="9"/>
      <c r="BK2" s="294" t="str">
        <f>VLOOKUP($CA$2,Spielorte!$A$1:$C$6,3)</f>
        <v>Nürnberg West Bowling</v>
      </c>
      <c r="BL2" s="294"/>
      <c r="BM2" s="294"/>
      <c r="BN2" s="294"/>
      <c r="BO2" s="294"/>
      <c r="BP2" s="294"/>
      <c r="BQ2" s="294"/>
      <c r="BR2" s="294"/>
      <c r="BS2" s="294"/>
      <c r="BT2" s="295"/>
      <c r="BU2" s="307" t="s">
        <v>1795</v>
      </c>
      <c r="BV2" s="308"/>
      <c r="BW2" s="308"/>
      <c r="BX2" s="308"/>
      <c r="BY2" s="308"/>
      <c r="BZ2" s="308"/>
      <c r="CA2" s="11">
        <v>4</v>
      </c>
      <c r="CB2" s="1"/>
      <c r="CC2" s="1"/>
      <c r="CD2" s="9"/>
      <c r="CE2" s="294" t="str">
        <f>VLOOKUP($CU$2,Spielorte!$A$1:$C$6,3)</f>
        <v>Brunnthal Max Munich</v>
      </c>
      <c r="CF2" s="294"/>
      <c r="CG2" s="294"/>
      <c r="CH2" s="294"/>
      <c r="CI2" s="294"/>
      <c r="CJ2" s="294"/>
      <c r="CK2" s="294"/>
      <c r="CL2" s="294"/>
      <c r="CM2" s="294"/>
      <c r="CN2" s="295"/>
      <c r="CO2" s="307" t="s">
        <v>1795</v>
      </c>
      <c r="CP2" s="308"/>
      <c r="CQ2" s="308"/>
      <c r="CR2" s="308"/>
      <c r="CS2" s="308"/>
      <c r="CT2" s="308"/>
      <c r="CU2" s="11">
        <v>5</v>
      </c>
      <c r="CV2" s="1"/>
      <c r="CW2" s="1"/>
      <c r="CX2" s="9"/>
      <c r="CY2" s="294" t="str">
        <f>VLOOKUP($DO$2,Spielorte!$A$1:$C$6,3)</f>
        <v>Schweinfurt Extreme Bowlingarena</v>
      </c>
      <c r="CZ2" s="294"/>
      <c r="DA2" s="294"/>
      <c r="DB2" s="294"/>
      <c r="DC2" s="294"/>
      <c r="DD2" s="294"/>
      <c r="DE2" s="294"/>
      <c r="DF2" s="294"/>
      <c r="DG2" s="294"/>
      <c r="DH2" s="295"/>
      <c r="DI2" s="307" t="s">
        <v>1795</v>
      </c>
      <c r="DJ2" s="308"/>
      <c r="DK2" s="308"/>
      <c r="DL2" s="308"/>
      <c r="DM2" s="308"/>
      <c r="DN2" s="308"/>
      <c r="DO2" s="11">
        <v>6</v>
      </c>
      <c r="DP2" s="1"/>
      <c r="DQ2" s="1"/>
      <c r="DR2" s="9"/>
    </row>
    <row r="3" spans="1:122" ht="12.75" customHeight="1" x14ac:dyDescent="0.25">
      <c r="C3" s="296" t="s">
        <v>9</v>
      </c>
      <c r="D3" s="297"/>
      <c r="E3" s="297"/>
      <c r="F3" s="297"/>
      <c r="G3" s="297"/>
      <c r="H3" s="297"/>
      <c r="I3" s="297"/>
      <c r="J3" s="297"/>
      <c r="K3" s="297"/>
      <c r="L3" s="298"/>
      <c r="M3" s="299" t="s">
        <v>10</v>
      </c>
      <c r="N3" s="297"/>
      <c r="O3" s="297"/>
      <c r="P3" s="297"/>
      <c r="Q3" s="297"/>
      <c r="R3" s="297"/>
      <c r="S3" s="297"/>
      <c r="T3" s="297"/>
      <c r="V3" s="13" t="s">
        <v>1796</v>
      </c>
      <c r="W3" s="296" t="s">
        <v>9</v>
      </c>
      <c r="X3" s="297"/>
      <c r="Y3" s="297"/>
      <c r="Z3" s="297"/>
      <c r="AA3" s="297"/>
      <c r="AB3" s="297"/>
      <c r="AC3" s="297"/>
      <c r="AD3" s="297"/>
      <c r="AE3" s="297"/>
      <c r="AF3" s="298"/>
      <c r="AG3" s="299" t="s">
        <v>10</v>
      </c>
      <c r="AH3" s="297"/>
      <c r="AI3" s="297"/>
      <c r="AJ3" s="297"/>
      <c r="AK3" s="297"/>
      <c r="AL3" s="297"/>
      <c r="AM3" s="297"/>
      <c r="AN3" s="297"/>
      <c r="AP3" s="13" t="s">
        <v>1796</v>
      </c>
      <c r="AQ3" s="297" t="s">
        <v>9</v>
      </c>
      <c r="AR3" s="297"/>
      <c r="AS3" s="297"/>
      <c r="AT3" s="297"/>
      <c r="AU3" s="297"/>
      <c r="AV3" s="297"/>
      <c r="AW3" s="297"/>
      <c r="AX3" s="297"/>
      <c r="AY3" s="297"/>
      <c r="AZ3" s="298"/>
      <c r="BA3" s="299" t="s">
        <v>10</v>
      </c>
      <c r="BB3" s="297"/>
      <c r="BC3" s="297"/>
      <c r="BD3" s="297"/>
      <c r="BE3" s="297"/>
      <c r="BF3" s="297"/>
      <c r="BG3" s="297"/>
      <c r="BH3" s="297"/>
      <c r="BJ3" s="10" t="s">
        <v>1796</v>
      </c>
      <c r="BK3" s="297" t="s">
        <v>9</v>
      </c>
      <c r="BL3" s="297"/>
      <c r="BM3" s="297"/>
      <c r="BN3" s="297"/>
      <c r="BO3" s="297"/>
      <c r="BP3" s="297"/>
      <c r="BQ3" s="297"/>
      <c r="BR3" s="297"/>
      <c r="BS3" s="297"/>
      <c r="BT3" s="298"/>
      <c r="BU3" s="299" t="s">
        <v>10</v>
      </c>
      <c r="BV3" s="297"/>
      <c r="BW3" s="297"/>
      <c r="BX3" s="297"/>
      <c r="BY3" s="297"/>
      <c r="BZ3" s="297"/>
      <c r="CA3" s="297"/>
      <c r="CB3" s="297"/>
      <c r="CD3" s="10" t="s">
        <v>1796</v>
      </c>
      <c r="CE3" s="297" t="s">
        <v>9</v>
      </c>
      <c r="CF3" s="297"/>
      <c r="CG3" s="297"/>
      <c r="CH3" s="297"/>
      <c r="CI3" s="297"/>
      <c r="CJ3" s="297"/>
      <c r="CK3" s="297"/>
      <c r="CL3" s="297"/>
      <c r="CM3" s="297"/>
      <c r="CN3" s="298"/>
      <c r="CO3" s="299" t="s">
        <v>10</v>
      </c>
      <c r="CP3" s="297"/>
      <c r="CQ3" s="297"/>
      <c r="CR3" s="297"/>
      <c r="CS3" s="297"/>
      <c r="CT3" s="297"/>
      <c r="CU3" s="297"/>
      <c r="CV3" s="297"/>
      <c r="CX3" s="10" t="s">
        <v>1796</v>
      </c>
      <c r="CY3" s="297" t="s">
        <v>9</v>
      </c>
      <c r="CZ3" s="297"/>
      <c r="DA3" s="297"/>
      <c r="DB3" s="297"/>
      <c r="DC3" s="297"/>
      <c r="DD3" s="297"/>
      <c r="DE3" s="297"/>
      <c r="DF3" s="297"/>
      <c r="DG3" s="297"/>
      <c r="DH3" s="298"/>
      <c r="DI3" s="299" t="s">
        <v>10</v>
      </c>
      <c r="DJ3" s="297"/>
      <c r="DK3" s="297"/>
      <c r="DL3" s="297"/>
      <c r="DM3" s="297"/>
      <c r="DN3" s="297"/>
      <c r="DO3" s="297"/>
      <c r="DP3" s="297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2794</v>
      </c>
      <c r="N2">
        <f>INDEX(SchnittGes3!N:N,MATCH(L2,SchnittGes3!L:L,0))+INDEX(Schnitt4!N:N,MATCH(L2,Schnitt4!L:L,0))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1181</v>
      </c>
      <c r="N3">
        <f>INDEX(SchnittGes3!N:N,MATCH(L3,SchnittGes3!L:L,0))+INDEX(Schnitt4!N:N,MATCH(L3,Schnitt4!L:L,0))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1681</v>
      </c>
      <c r="N4">
        <f>INDEX(SchnittGes3!N:N,MATCH(L4,SchnittGes3!L:L,0))+INDEX(Schnitt4!N:N,MATCH(L4,Schnitt4!L:L,0))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INDEX(SchnittGes3!M:M,MATCH(L5,SchnittGes3!L:L,0))+INDEX(Schnitt4!M:M,MATCH(L5,Schnitt4!L:L,0))</f>
        <v>1117</v>
      </c>
      <c r="N5">
        <f>INDEX(SchnittGes3!N:N,MATCH(L5,SchnittGes3!L:L,0))+INDEX(Schnitt4!N:N,MATCH(L5,Schnitt4!L:L,0))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INDEX(SchnittGes3!M:M,MATCH(L7,SchnittGes3!L:L,0))+INDEX(Schnitt4!M:M,MATCH(L7,Schnitt4!L:L,0))</f>
        <v>3312</v>
      </c>
      <c r="N7">
        <f>INDEX(SchnittGes3!N:N,MATCH(L7,SchnittGes3!L:L,0))+INDEX(Schnitt4!N:N,MATCH(L7,Schnitt4!L:L,0))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INDEX(SchnittGes3!M:M,MATCH(L9,SchnittGes3!L:L,0))+INDEX(Schnitt4!M:M,MATCH(L9,Schnitt4!L:L,0))</f>
        <v>3492</v>
      </c>
      <c r="N9">
        <f>INDEX(SchnittGes3!N:N,MATCH(L9,SchnittGes3!L:L,0))+INDEX(Schnitt4!N:N,MATCH(L9,Schnitt4!L:L,0))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INDEX(SchnittGes3!M:M,MATCH(L10,SchnittGes3!L:L,0))+INDEX(Schnitt4!M:M,MATCH(L10,Schnitt4!L:L,0))</f>
        <v>3376</v>
      </c>
      <c r="N10">
        <f>INDEX(SchnittGes3!N:N,MATCH(L10,SchnittGes3!L:L,0))+INDEX(Schnitt4!N:N,MATCH(L10,Schnitt4!L:L,0))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INDEX(SchnittGes3!M:M,MATCH(L11,SchnittGes3!L:L,0))+INDEX(Schnitt4!M:M,MATCH(L11,Schnitt4!L:L,0))</f>
        <v>3084</v>
      </c>
      <c r="N11">
        <f>INDEX(SchnittGes3!N:N,MATCH(L11,SchnittGes3!L:L,0))+INDEX(Schnitt4!N:N,MATCH(L11,Schnitt4!L:L,0))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INDEX(SchnittGes3!M:M,MATCH(L12,SchnittGes3!L:L,0))+INDEX(Schnitt4!M:M,MATCH(L12,Schnitt4!L:L,0))</f>
        <v>3125</v>
      </c>
      <c r="N12">
        <f>INDEX(SchnittGes3!N:N,MATCH(L12,SchnittGes3!L:L,0))+INDEX(Schnitt4!N:N,MATCH(L12,Schnitt4!L:L,0))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INDEX(SchnittGes3!M:M,MATCH(L13,SchnittGes3!L:L,0))+INDEX(Schnitt4!M:M,MATCH(L13,Schnitt4!L:L,0))</f>
        <v>3103</v>
      </c>
      <c r="N13">
        <f>INDEX(SchnittGes3!N:N,MATCH(L13,SchnittGes3!L:L,0))+INDEX(Schnitt4!N:N,MATCH(L13,Schnitt4!L:L,0))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INDEX(SchnittGes3!M:M,MATCH(L14,SchnittGes3!L:L,0))+INDEX(Schnitt4!M:M,MATCH(L14,Schnitt4!L:L,0))</f>
        <v>2791</v>
      </c>
      <c r="N14">
        <f>INDEX(SchnittGes3!N:N,MATCH(L14,SchnittGes3!L:L,0))+INDEX(Schnitt4!N:N,MATCH(L14,Schnitt4!L:L,0))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INDEX(SchnittGes3!M:M,MATCH(L15,SchnittGes3!L:L,0))+INDEX(Schnitt4!M:M,MATCH(L15,Schnitt4!L:L,0))</f>
        <v>772</v>
      </c>
      <c r="N15">
        <f>INDEX(SchnittGes3!N:N,MATCH(L15,SchnittGes3!L:L,0))+INDEX(Schnitt4!N:N,MATCH(L15,Schnitt4!L:L,0))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INDEX(SchnittGes3!M:M,MATCH(L16,SchnittGes3!L:L,0))+INDEX(Schnitt4!M:M,MATCH(L16,Schnitt4!L:L,0))</f>
        <v>3454</v>
      </c>
      <c r="N16">
        <f>INDEX(SchnittGes3!N:N,MATCH(L16,SchnittGes3!L:L,0))+INDEX(Schnitt4!N:N,MATCH(L16,Schnitt4!L:L,0))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INDEX(SchnittGes3!M:M,MATCH(L17,SchnittGes3!L:L,0))+INDEX(Schnitt4!M:M,MATCH(L17,Schnitt4!L:L,0))</f>
        <v>1641</v>
      </c>
      <c r="N17">
        <f>INDEX(SchnittGes3!N:N,MATCH(L17,SchnittGes3!L:L,0))+INDEX(Schnitt4!N:N,MATCH(L17,Schnitt4!L:L,0))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INDEX(SchnittGes3!M:M,MATCH(L18,SchnittGes3!L:L,0))+INDEX(Schnitt4!M:M,MATCH(L18,Schnitt4!L:L,0))</f>
        <v>3317</v>
      </c>
      <c r="N18">
        <f>INDEX(SchnittGes3!N:N,MATCH(L18,SchnittGes3!L:L,0))+INDEX(Schnitt4!N:N,MATCH(L18,Schnitt4!L:L,0))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INDEX(SchnittGes3!M:M,MATCH(L19,SchnittGes3!L:L,0))+INDEX(Schnitt4!M:M,MATCH(L19,Schnitt4!L:L,0))</f>
        <v>1495</v>
      </c>
      <c r="N19">
        <f>INDEX(SchnittGes3!N:N,MATCH(L19,SchnittGes3!L:L,0))+INDEX(Schnitt4!N:N,MATCH(L19,Schnitt4!L:L,0))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INDEX(SchnittGes3!M:M,MATCH(L20,SchnittGes3!L:L,0))+INDEX(Schnitt4!M:M,MATCH(L20,Schnitt4!L:L,0))</f>
        <v>1893</v>
      </c>
      <c r="N20">
        <f>INDEX(SchnittGes3!N:N,MATCH(L20,SchnittGes3!L:L,0))+INDEX(Schnitt4!N:N,MATCH(L20,Schnitt4!L:L,0))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INDEX(SchnittGes3!M:M,MATCH(L21,SchnittGes3!L:L,0))+INDEX(Schnitt4!M:M,MATCH(L21,Schnitt4!L:L,0))</f>
        <v>960</v>
      </c>
      <c r="N21">
        <f>INDEX(SchnittGes3!N:N,MATCH(L21,SchnittGes3!L:L,0))+INDEX(Schnitt4!N:N,MATCH(L21,Schnitt4!L:L,0))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INDEX(SchnittGes3!M:M,MATCH(L22,SchnittGes3!L:L,0))+INDEX(Schnitt4!M:M,MATCH(L22,Schnitt4!L:L,0))</f>
        <v>983</v>
      </c>
      <c r="N22">
        <f>INDEX(SchnittGes3!N:N,MATCH(L22,SchnittGes3!L:L,0))+INDEX(Schnitt4!N:N,MATCH(L22,Schnitt4!L:L,0))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INDEX(SchnittGes3!M:M,MATCH(L24,SchnittGes3!L:L,0))+INDEX(Schnitt4!M:M,MATCH(L24,Schnitt4!L:L,0))</f>
        <v>3390</v>
      </c>
      <c r="N24">
        <f>INDEX(SchnittGes3!N:N,MATCH(L24,SchnittGes3!L:L,0))+INDEX(Schnitt4!N:N,MATCH(L24,Schnitt4!L:L,0))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INDEX(SchnittGes3!M:M,MATCH(L25,SchnittGes3!L:L,0))+INDEX(Schnitt4!M:M,MATCH(L25,Schnitt4!L:L,0))</f>
        <v>2838</v>
      </c>
      <c r="N25">
        <f>INDEX(SchnittGes3!N:N,MATCH(L25,SchnittGes3!L:L,0))+INDEX(Schnitt4!N:N,MATCH(L25,Schnitt4!L:L,0))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INDEX(SchnittGes3!M:M,MATCH(L26,SchnittGes3!L:L,0))+INDEX(Schnitt4!M:M,MATCH(L26,Schnitt4!L:L,0))</f>
        <v>1816</v>
      </c>
      <c r="N26">
        <f>INDEX(SchnittGes3!N:N,MATCH(L26,SchnittGes3!L:L,0))+INDEX(Schnitt4!N:N,MATCH(L26,Schnitt4!L:L,0))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INDEX(SchnittGes3!M:M,MATCH(L27,SchnittGes3!L:L,0))+INDEX(Schnitt4!M:M,MATCH(L27,Schnitt4!L:L,0))</f>
        <v>2433</v>
      </c>
      <c r="N27">
        <f>INDEX(SchnittGes3!N:N,MATCH(L27,SchnittGes3!L:L,0))+INDEX(Schnitt4!N:N,MATCH(L27,Schnitt4!L:L,0))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INDEX(SchnittGes3!M:M,MATCH(L29,SchnittGes3!L:L,0))+INDEX(Schnitt4!M:M,MATCH(L29,Schnitt4!L:L,0))</f>
        <v>3165</v>
      </c>
      <c r="N29">
        <f>INDEX(SchnittGes3!N:N,MATCH(L29,SchnittGes3!L:L,0))+INDEX(Schnitt4!N:N,MATCH(L29,Schnitt4!L:L,0))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INDEX(SchnittGes3!M:M,MATCH(L30,SchnittGes3!L:L,0))+INDEX(Schnitt4!M:M,MATCH(L30,Schnitt4!L:L,0))</f>
        <v>3025</v>
      </c>
      <c r="N30">
        <f>INDEX(SchnittGes3!N:N,MATCH(L30,SchnittGes3!L:L,0))+INDEX(Schnitt4!N:N,MATCH(L30,Schnitt4!L:L,0))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INDEX(SchnittGes3!M:M,MATCH(L31,SchnittGes3!L:L,0))+INDEX(Schnitt4!M:M,MATCH(L31,Schnitt4!L:L,0))</f>
        <v>2949</v>
      </c>
      <c r="N31">
        <f>INDEX(SchnittGes3!N:N,MATCH(L31,SchnittGes3!L:L,0))+INDEX(Schnitt4!N:N,MATCH(L31,Schnitt4!L:L,0))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INDEX(SchnittGes3!M:M,MATCH(L32,SchnittGes3!L:L,0))+INDEX(Schnitt4!M:M,MATCH(L32,Schnitt4!L:L,0))</f>
        <v>3252</v>
      </c>
      <c r="N32">
        <f>INDEX(SchnittGes3!N:N,MATCH(L32,SchnittGes3!L:L,0))+INDEX(Schnitt4!N:N,MATCH(L32,Schnitt4!L:L,0))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INDEX(SchnittGes3!M:M,MATCH(L42,SchnittGes3!L:L,0))+INDEX(Schnitt4!M:M,MATCH(L42,Schnitt4!L:L,0))</f>
        <v>1308</v>
      </c>
      <c r="N42">
        <f>INDEX(SchnittGes3!N:N,MATCH(L42,SchnittGes3!L:L,0))+INDEX(Schnitt4!N:N,MATCH(L42,Schnitt4!L:L,0))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INDEX(SchnittGes3!M:M,MATCH(L44,SchnittGes3!L:L,0))+INDEX(Schnitt4!M:M,MATCH(L44,Schnitt4!L:L,0))</f>
        <v>3223</v>
      </c>
      <c r="N44">
        <f>INDEX(SchnittGes3!N:N,MATCH(L44,SchnittGes3!L:L,0))+INDEX(Schnitt4!N:N,MATCH(L44,Schnitt4!L:L,0))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INDEX(SchnittGes3!M:M,MATCH(L45,SchnittGes3!L:L,0))+INDEX(Schnitt4!M:M,MATCH(L45,Schnitt4!L:L,0))</f>
        <v>3101</v>
      </c>
      <c r="N45">
        <f>INDEX(SchnittGes3!N:N,MATCH(L45,SchnittGes3!L:L,0))+INDEX(Schnitt4!N:N,MATCH(L45,Schnitt4!L:L,0))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INDEX(SchnittGes3!M:M,MATCH(L46,SchnittGes3!L:L,0))+INDEX(Schnitt4!M:M,MATCH(L46,Schnitt4!L:L,0))</f>
        <v>2715</v>
      </c>
      <c r="N46">
        <f>INDEX(SchnittGes3!N:N,MATCH(L46,SchnittGes3!L:L,0))+INDEX(Schnitt4!N:N,MATCH(L46,Schnitt4!L:L,0))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INDEX(SchnittGes3!M:M,MATCH(L49,SchnittGes3!L:L,0))+INDEX(Schnitt4!M:M,MATCH(L49,Schnitt4!L:L,0))</f>
        <v>575</v>
      </c>
      <c r="N49">
        <f>INDEX(SchnittGes3!N:N,MATCH(L49,SchnittGes3!L:L,0))+INDEX(Schnitt4!N:N,MATCH(L49,Schnitt4!L:L,0))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INDEX(SchnittGes3!M:M,MATCH(L51,SchnittGes3!L:L,0))+INDEX(Schnitt4!M:M,MATCH(L51,Schnitt4!L:L,0))</f>
        <v>1516</v>
      </c>
      <c r="N51">
        <f>INDEX(SchnittGes3!N:N,MATCH(L51,SchnittGes3!L:L,0))+INDEX(Schnitt4!N:N,MATCH(L51,Schnitt4!L:L,0))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INDEX(SchnittGes3!M:M,MATCH(L52,SchnittGes3!L:L,0))+INDEX(Schnitt4!M:M,MATCH(L52,Schnitt4!L:L,0))</f>
        <v>1102</v>
      </c>
      <c r="N52">
        <f>INDEX(SchnittGes3!N:N,MATCH(L52,SchnittGes3!L:L,0))+INDEX(Schnitt4!N:N,MATCH(L52,Schnitt4!L:L,0))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INDEX(SchnittGes3!M:M,MATCH(L54,SchnittGes3!L:L,0))+INDEX(Schnitt4!M:M,MATCH(L54,Schnitt4!L:L,0))</f>
        <v>2473</v>
      </c>
      <c r="N54">
        <f>INDEX(SchnittGes3!N:N,MATCH(L54,SchnittGes3!L:L,0))+INDEX(Schnitt4!N:N,MATCH(L54,Schnitt4!L:L,0))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INDEX(SchnittGes3!M:M,MATCH(L55,SchnittGes3!L:L,0))+INDEX(Schnitt4!M:M,MATCH(L55,Schnitt4!L:L,0))</f>
        <v>3268</v>
      </c>
      <c r="N55">
        <f>INDEX(SchnittGes3!N:N,MATCH(L55,SchnittGes3!L:L,0))+INDEX(Schnitt4!N:N,MATCH(L55,Schnitt4!L:L,0))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INDEX(SchnittGes3!M:M,MATCH(L56,SchnittGes3!L:L,0))+INDEX(Schnitt4!M:M,MATCH(L56,Schnitt4!L:L,0))</f>
        <v>3591</v>
      </c>
      <c r="N56">
        <f>INDEX(SchnittGes3!N:N,MATCH(L56,SchnittGes3!L:L,0))+INDEX(Schnitt4!N:N,MATCH(L56,Schnitt4!L:L,0))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INDEX(SchnittGes3!M:M,MATCH(L57,SchnittGes3!L:L,0))+INDEX(Schnitt4!M:M,MATCH(L57,Schnitt4!L:L,0))</f>
        <v>2839</v>
      </c>
      <c r="N57">
        <f>INDEX(SchnittGes3!N:N,MATCH(L57,SchnittGes3!L:L,0))+INDEX(Schnitt4!N:N,MATCH(L57,Schnitt4!L:L,0))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3066</v>
      </c>
      <c r="N59">
        <f>INDEX(SchnittGes3!N:N,MATCH(L59,SchnittGes3!L:L,0))+INDEX(Schnitt4!N:N,MATCH(L59,Schnitt4!L:L,0))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2908</v>
      </c>
      <c r="N60">
        <f>INDEX(SchnittGes3!N:N,MATCH(L60,SchnittGes3!L:L,0))+INDEX(Schnitt4!N:N,MATCH(L60,Schnitt4!L:L,0))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3200</v>
      </c>
      <c r="N61">
        <f>INDEX(SchnittGes3!N:N,MATCH(L61,SchnittGes3!L:L,0))+INDEX(Schnitt4!N:N,MATCH(L61,Schnitt4!L:L,0))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2566</v>
      </c>
      <c r="N65">
        <f>INDEX(SchnittGes3!N:N,MATCH(L65,SchnittGes3!L:L,0))+INDEX(Schnitt4!N:N,MATCH(L65,Schnitt4!L:L,0))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1368</v>
      </c>
      <c r="N66">
        <f>INDEX(SchnittGes3!N:N,MATCH(L66,SchnittGes3!L:L,0))+INDEX(Schnitt4!N:N,MATCH(L66,Schnitt4!L:L,0))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2351</v>
      </c>
      <c r="N67">
        <f>INDEX(SchnittGes3!N:N,MATCH(L67,SchnittGes3!L:L,0))+INDEX(Schnitt4!N:N,MATCH(L67,Schnitt4!L:L,0))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885</v>
      </c>
      <c r="N68">
        <f>INDEX(SchnittGes3!N:N,MATCH(L68,SchnittGes3!L:L,0))+INDEX(Schnitt4!N:N,MATCH(L68,Schnitt4!L:L,0))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3168</v>
      </c>
      <c r="N69">
        <f>INDEX(SchnittGes3!N:N,MATCH(L69,SchnittGes3!L:L,0))+INDEX(Schnitt4!N:N,MATCH(L69,Schnitt4!L:L,0))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3034</v>
      </c>
      <c r="N70">
        <f>INDEX(SchnittGes3!N:N,MATCH(L70,SchnittGes3!L:L,0))+INDEX(Schnitt4!N:N,MATCH(L70,Schnitt4!L:L,0))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3347</v>
      </c>
      <c r="N71">
        <f>INDEX(SchnittGes3!N:N,MATCH(L71,SchnittGes3!L:L,0))+INDEX(Schnitt4!N:N,MATCH(L71,Schnitt4!L:L,0))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1583</v>
      </c>
      <c r="N72">
        <f>INDEX(SchnittGes3!N:N,MATCH(L72,SchnittGes3!L:L,0))+INDEX(Schnitt4!N:N,MATCH(L72,Schnitt4!L:L,0))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+Spielzettel5!T2</f>
        <v>5</v>
      </c>
      <c r="F6" s="331"/>
      <c r="P6" s="140" t="s">
        <v>1838</v>
      </c>
      <c r="Q6" s="332" t="str">
        <f>+Spielzettel5!U1</f>
        <v>15.03./16.03.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+Spielzettel5!F2</f>
        <v>Brunnthal Max Munich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+Spielzettel5!F1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Schlüssel!$CO$1</f>
        <v>15.03./16.03.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Schlüssel!$CE$2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VLOOKUP(B2,Schlüssel!$A$5:$DZ$14,83)</f>
        <v>2</v>
      </c>
      <c r="E22" s="353"/>
      <c r="F22" s="353">
        <f>VLOOKUP(B2,Schlüssel!$A$5:$DZ$14,84)</f>
        <v>6</v>
      </c>
      <c r="G22" s="353"/>
      <c r="H22" s="353">
        <f>VLOOKUP(B2,Schlüssel!$A$5:$DZ$14,85)</f>
        <v>10</v>
      </c>
      <c r="I22" s="353"/>
      <c r="J22" s="353">
        <f>VLOOKUP(B2,Schlüssel!$A$5:$DZ$14,86)</f>
        <v>9</v>
      </c>
      <c r="K22" s="353"/>
      <c r="L22" s="353">
        <f>VLOOKUP(B2,Schlüssel!$A$5:$DZ$14,87)</f>
        <v>4</v>
      </c>
      <c r="M22" s="353"/>
      <c r="N22" s="353">
        <f>VLOOKUP(B2,Schlüssel!$A$5:$DZ$14,88)</f>
        <v>3</v>
      </c>
      <c r="O22" s="353"/>
      <c r="P22" s="353">
        <f>VLOOKUP(B2,Schlüssel!$A$5:$DZ$14,89)</f>
        <v>5</v>
      </c>
      <c r="Q22" s="353"/>
      <c r="R22" s="353">
        <f>VLOOKUP(B2,Schlüssel!$A$5:$DZ$14,90)</f>
        <v>8</v>
      </c>
      <c r="S22" s="353"/>
      <c r="T22" s="353">
        <f>VLOOKUP(B2,Schlüssel!$A$5:$DZ$14,91)</f>
        <v>7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2</v>
      </c>
      <c r="E23" s="356"/>
      <c r="F23" s="355" t="str">
        <f>VLOOKUP(F22,Schlüssel!$A$5:$K$14,2)</f>
        <v>Phönix 03 Lauf</v>
      </c>
      <c r="G23" s="356"/>
      <c r="H23" s="355" t="str">
        <f>VLOOKUP(H22,Schlüssel!$A$5:$K$14,2)</f>
        <v>BK München 4</v>
      </c>
      <c r="I23" s="356"/>
      <c r="J23" s="355" t="str">
        <f>VLOOKUP(J22,Schlüssel!$A$5:$K$14,2)</f>
        <v>RW Lichtenhof 69 Stein 2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Highroller Rosenheim</v>
      </c>
      <c r="O23" s="356"/>
      <c r="P23" s="355" t="str">
        <f>VLOOKUP(P22,Schlüssel!$A$5:$K$14,2)</f>
        <v xml:space="preserve">Weiß Blau Unterföhring </v>
      </c>
      <c r="Q23" s="356"/>
      <c r="R23" s="355" t="str">
        <f>VLOOKUP(R22,Schlüssel!$A$5:$K$14,2)</f>
        <v>EPA München 1</v>
      </c>
      <c r="S23" s="356"/>
      <c r="T23" s="355" t="str">
        <f>VLOOKUP(T22,Schlüssel!$A$5:$K$14,2)</f>
        <v>Frankenpower Nürnberg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Schlüssel!$CO$1</f>
        <v>15.03./16.03.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Schlüssel!$CE$2</f>
        <v>Brunnthal Max Munich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VLOOKUP(B31,Schlüssel!$A$5:$DZ$14,83)</f>
        <v>1</v>
      </c>
      <c r="E51" s="353"/>
      <c r="F51" s="353">
        <f>VLOOKUP(B31,Schlüssel!$A$5:$DZ$14,84)</f>
        <v>9</v>
      </c>
      <c r="G51" s="353"/>
      <c r="H51" s="353">
        <f>VLOOKUP(B31,Schlüssel!$A$5:$DZ$14,85)</f>
        <v>3</v>
      </c>
      <c r="I51" s="353"/>
      <c r="J51" s="353">
        <f>VLOOKUP(B31,Schlüssel!$A$5:$DZ$14,86)</f>
        <v>10</v>
      </c>
      <c r="K51" s="353"/>
      <c r="L51" s="353">
        <f>VLOOKUP(B31,Schlüssel!$A$5:$DZ$14,87)</f>
        <v>6</v>
      </c>
      <c r="M51" s="353"/>
      <c r="N51" s="353">
        <f>VLOOKUP(B31,Schlüssel!$A$5:$DZ$14,88)</f>
        <v>7</v>
      </c>
      <c r="O51" s="353"/>
      <c r="P51" s="353">
        <f>VLOOKUP(B31,Schlüssel!$A$5:$DZ$14,89)</f>
        <v>8</v>
      </c>
      <c r="Q51" s="353"/>
      <c r="R51" s="353">
        <f>VLOOKUP(B31,Schlüssel!$A$5:$DZ$14,90)</f>
        <v>4</v>
      </c>
      <c r="S51" s="353"/>
      <c r="T51" s="353">
        <f>VLOOKUP(B31,Schlüssel!$A$5:$DZ$14,91)</f>
        <v>5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Praetoria Regensburg</v>
      </c>
      <c r="E52" s="356"/>
      <c r="F52" s="355" t="str">
        <f>VLOOKUP(F51,Schlüssel!$A$5:$K$14,2)</f>
        <v>RW Lichtenhof 69 Stein 2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BK München 4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 xml:space="preserve">Weiß Blau Unterföhring 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Schlüssel!$CO$1</f>
        <v>15.03./16.03.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Schlüssel!$CE$2</f>
        <v>Brunnthal Max Munich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VLOOKUP(B60,Schlüssel!$A$5:$DZ$14,83)</f>
        <v>4</v>
      </c>
      <c r="E80" s="353"/>
      <c r="F80" s="353">
        <f>VLOOKUP(B60,Schlüssel!$A$5:$DZ$14,84)</f>
        <v>7</v>
      </c>
      <c r="G80" s="353"/>
      <c r="H80" s="353">
        <f>VLOOKUP(B60,Schlüssel!$A$5:$DZ$14,85)</f>
        <v>2</v>
      </c>
      <c r="I80" s="353"/>
      <c r="J80" s="353">
        <f>VLOOKUP(B60,Schlüssel!$A$5:$DZ$14,86)</f>
        <v>5</v>
      </c>
      <c r="K80" s="353"/>
      <c r="L80" s="353">
        <f>VLOOKUP(B60,Schlüssel!$A$5:$DZ$14,87)</f>
        <v>8</v>
      </c>
      <c r="M80" s="353"/>
      <c r="N80" s="353">
        <f>VLOOKUP(B60,Schlüssel!$A$5:$DZ$14,88)</f>
        <v>1</v>
      </c>
      <c r="O80" s="353"/>
      <c r="P80" s="353">
        <f>VLOOKUP(B60,Schlüssel!$A$5:$DZ$14,89)</f>
        <v>10</v>
      </c>
      <c r="Q80" s="353"/>
      <c r="R80" s="353">
        <f>VLOOKUP(B60,Schlüssel!$A$5:$DZ$14,90)</f>
        <v>9</v>
      </c>
      <c r="S80" s="353"/>
      <c r="T80" s="353">
        <f>VLOOKUP(B60,Schlüssel!$A$5:$DZ$14,91)</f>
        <v>6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3</v>
      </c>
      <c r="E81" s="356"/>
      <c r="F81" s="355" t="str">
        <f>VLOOKUP(F80,Schlüssel!$A$5:$K$14,2)</f>
        <v>Frankenpower Nürnberg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 xml:space="preserve">Weiß Blau Unterföhring 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>Praetoria Regensburg</v>
      </c>
      <c r="O81" s="356"/>
      <c r="P81" s="355" t="str">
        <f>VLOOKUP(P80,Schlüssel!$A$5:$K$14,2)</f>
        <v>BK München 4</v>
      </c>
      <c r="Q81" s="356"/>
      <c r="R81" s="355" t="str">
        <f>VLOOKUP(R80,Schlüssel!$A$5:$K$14,2)</f>
        <v>RW Lichtenhof 69 Stein 2</v>
      </c>
      <c r="S81" s="356"/>
      <c r="T81" s="355" t="str">
        <f>VLOOKUP(T80,Schlüssel!$A$5:$K$14,2)</f>
        <v>Phönix 03 Lauf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Schlüssel!$CO$1</f>
        <v>15.03./16.03.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Schlüssel!$CE$2</f>
        <v>Brunnthal Max Munich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VLOOKUP(B89,Schlüssel!$A$5:$DZ$14,83)</f>
        <v>3</v>
      </c>
      <c r="E109" s="353"/>
      <c r="F109" s="353">
        <f>VLOOKUP(B89,Schlüssel!$A$5:$DZ$14,84)</f>
        <v>8</v>
      </c>
      <c r="G109" s="353"/>
      <c r="H109" s="353">
        <f>VLOOKUP(B89,Schlüssel!$A$5:$DZ$14,85)</f>
        <v>5</v>
      </c>
      <c r="I109" s="353"/>
      <c r="J109" s="353">
        <f>VLOOKUP(B89,Schlüssel!$A$5:$DZ$14,86)</f>
        <v>7</v>
      </c>
      <c r="K109" s="353"/>
      <c r="L109" s="353">
        <f>VLOOKUP(B89,Schlüssel!$A$5:$DZ$14,87)</f>
        <v>1</v>
      </c>
      <c r="M109" s="353"/>
      <c r="N109" s="353">
        <f>VLOOKUP(B89,Schlüssel!$A$5:$DZ$14,88)</f>
        <v>10</v>
      </c>
      <c r="O109" s="353"/>
      <c r="P109" s="353">
        <f>VLOOKUP(B89,Schlüssel!$A$5:$DZ$14,89)</f>
        <v>6</v>
      </c>
      <c r="Q109" s="353"/>
      <c r="R109" s="353">
        <f>VLOOKUP(B89,Schlüssel!$A$5:$DZ$14,90)</f>
        <v>2</v>
      </c>
      <c r="S109" s="353"/>
      <c r="T109" s="353">
        <f>VLOOKUP(B89,Schlüssel!$A$5:$DZ$14,91)</f>
        <v>9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Highroller Rosenheim</v>
      </c>
      <c r="E110" s="356"/>
      <c r="F110" s="355" t="str">
        <f>VLOOKUP(F109,Schlüssel!$A$5:$K$14,2)</f>
        <v>EPA München 1</v>
      </c>
      <c r="G110" s="356"/>
      <c r="H110" s="355" t="str">
        <f>VLOOKUP(H109,Schlüssel!$A$5:$K$14,2)</f>
        <v xml:space="preserve">Weiß Blau Unterföhring 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Phönix 03 Lauf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RW Lichtenhof 69 Stein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Schlüssel!$CO$1</f>
        <v>15.03./16.03.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Schlüssel!$CE$2</f>
        <v>Brunnthal Max Munich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VLOOKUP(B118,Schlüssel!$A$5:$DZ$14,83)</f>
        <v>6</v>
      </c>
      <c r="E138" s="353"/>
      <c r="F138" s="353">
        <f>VLOOKUP(B118,Schlüssel!$A$5:$DZ$14,84)</f>
        <v>10</v>
      </c>
      <c r="G138" s="353"/>
      <c r="H138" s="353">
        <f>VLOOKUP(B118,Schlüssel!$A$5:$DZ$14,85)</f>
        <v>4</v>
      </c>
      <c r="I138" s="353"/>
      <c r="J138" s="353">
        <f>VLOOKUP(B118,Schlüssel!$A$5:$DZ$14,86)</f>
        <v>3</v>
      </c>
      <c r="K138" s="353"/>
      <c r="L138" s="353">
        <f>VLOOKUP(B118,Schlüssel!$A$5:$DZ$14,87)</f>
        <v>9</v>
      </c>
      <c r="M138" s="353"/>
      <c r="N138" s="353">
        <f>VLOOKUP(B118,Schlüssel!$A$5:$DZ$14,88)</f>
        <v>8</v>
      </c>
      <c r="O138" s="353"/>
      <c r="P138" s="353">
        <f>VLOOKUP(B118,Schlüssel!$A$5:$DZ$14,89)</f>
        <v>1</v>
      </c>
      <c r="Q138" s="353"/>
      <c r="R138" s="353">
        <f>VLOOKUP(B118,Schlüssel!$A$5:$DZ$14,90)</f>
        <v>7</v>
      </c>
      <c r="S138" s="353"/>
      <c r="T138" s="353">
        <f>VLOOKUP(B118,Schlüssel!$A$5:$DZ$14,91)</f>
        <v>2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Phönix 03 Lauf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BK München 3</v>
      </c>
      <c r="I139" s="356"/>
      <c r="J139" s="355" t="str">
        <f>VLOOKUP(J138,Schlüssel!$A$5:$K$14,2)</f>
        <v>Highroller Rosenheim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Praetoria Regensburg</v>
      </c>
      <c r="Q139" s="356"/>
      <c r="R139" s="355" t="str">
        <f>VLOOKUP(R138,Schlüssel!$A$5:$K$14,2)</f>
        <v>Frankenpower Nürnberg</v>
      </c>
      <c r="S139" s="356"/>
      <c r="T139" s="355" t="str">
        <f>VLOOKUP(T138,Schlüssel!$A$5:$K$14,2)</f>
        <v>BK München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Schlüssel!$CO$1</f>
        <v>15.03./16.03.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Schlüssel!$CE$2</f>
        <v>Brunnthal Max Munich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VLOOKUP(B147,Schlüssel!$A$5:$DZ$14,83)</f>
        <v>5</v>
      </c>
      <c r="E167" s="353"/>
      <c r="F167" s="353">
        <f>VLOOKUP(B147,Schlüssel!$A$5:$DZ$14,84)</f>
        <v>1</v>
      </c>
      <c r="G167" s="353"/>
      <c r="H167" s="353">
        <f>VLOOKUP(B147,Schlüssel!$A$5:$DZ$14,85)</f>
        <v>7</v>
      </c>
      <c r="I167" s="353"/>
      <c r="J167" s="353">
        <f>VLOOKUP(B147,Schlüssel!$A$5:$DZ$14,86)</f>
        <v>8</v>
      </c>
      <c r="K167" s="353"/>
      <c r="L167" s="353">
        <f>VLOOKUP(B147,Schlüssel!$A$5:$DZ$14,87)</f>
        <v>2</v>
      </c>
      <c r="M167" s="353"/>
      <c r="N167" s="353">
        <f>VLOOKUP(B147,Schlüssel!$A$5:$DZ$14,88)</f>
        <v>9</v>
      </c>
      <c r="O167" s="353"/>
      <c r="P167" s="353">
        <f>VLOOKUP(B147,Schlüssel!$A$5:$DZ$14,89)</f>
        <v>4</v>
      </c>
      <c r="Q167" s="353"/>
      <c r="R167" s="353">
        <f>VLOOKUP(B147,Schlüssel!$A$5:$DZ$14,90)</f>
        <v>10</v>
      </c>
      <c r="S167" s="353"/>
      <c r="T167" s="353">
        <f>VLOOKUP(B147,Schlüssel!$A$5:$DZ$14,91)</f>
        <v>3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 xml:space="preserve">Weiß Blau Unterföhring </v>
      </c>
      <c r="E168" s="356"/>
      <c r="F168" s="355" t="str">
        <f>VLOOKUP(F167,Schlüssel!$A$5:$K$14,2)</f>
        <v>Praetoria Regensburg</v>
      </c>
      <c r="G168" s="356"/>
      <c r="H168" s="355" t="str">
        <f>VLOOKUP(H167,Schlüssel!$A$5:$K$14,2)</f>
        <v>Frankenpower Nürnberg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RW Lichtenhof 69 Stein 2</v>
      </c>
      <c r="O168" s="356"/>
      <c r="P168" s="355" t="str">
        <f>VLOOKUP(P167,Schlüssel!$A$5:$K$14,2)</f>
        <v>BK München 3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Highroller Rosenheim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Schlüssel!$CO$1</f>
        <v>15.03./16.03.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Schlüssel!$CE$2</f>
        <v>Brunnthal Max Munich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VLOOKUP(B176,Schlüssel!$A$5:$DZ$14,83)</f>
        <v>8</v>
      </c>
      <c r="E196" s="353"/>
      <c r="F196" s="353">
        <f>VLOOKUP(B176,Schlüssel!$A$5:$DZ$14,84)</f>
        <v>3</v>
      </c>
      <c r="G196" s="353"/>
      <c r="H196" s="353">
        <f>VLOOKUP(B176,Schlüssel!$A$5:$DZ$14,85)</f>
        <v>6</v>
      </c>
      <c r="I196" s="353"/>
      <c r="J196" s="353">
        <f>VLOOKUP(B176,Schlüssel!$A$5:$DZ$14,86)</f>
        <v>4</v>
      </c>
      <c r="K196" s="353"/>
      <c r="L196" s="353">
        <f>VLOOKUP(B176,Schlüssel!$A$5:$DZ$14,87)</f>
        <v>10</v>
      </c>
      <c r="M196" s="353"/>
      <c r="N196" s="353">
        <f>VLOOKUP(B176,Schlüssel!$A$5:$DZ$14,88)</f>
        <v>2</v>
      </c>
      <c r="O196" s="353"/>
      <c r="P196" s="353">
        <f>VLOOKUP(B176,Schlüssel!$A$5:$DZ$14,89)</f>
        <v>9</v>
      </c>
      <c r="Q196" s="353"/>
      <c r="R196" s="353">
        <f>VLOOKUP(B176,Schlüssel!$A$5:$DZ$14,90)</f>
        <v>5</v>
      </c>
      <c r="S196" s="353"/>
      <c r="T196" s="353">
        <f>VLOOKUP(B176,Schlüssel!$A$5:$DZ$14,91)</f>
        <v>1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EPA München 1</v>
      </c>
      <c r="E197" s="356"/>
      <c r="F197" s="355" t="str">
        <f>VLOOKUP(F196,Schlüssel!$A$5:$K$14,2)</f>
        <v>Highroller Rosenheim</v>
      </c>
      <c r="G197" s="356"/>
      <c r="H197" s="355" t="str">
        <f>VLOOKUP(H196,Schlüssel!$A$5:$K$14,2)</f>
        <v>Phönix 03 Lauf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 xml:space="preserve">Weiß Blau Unterföhring </v>
      </c>
      <c r="S197" s="356"/>
      <c r="T197" s="355" t="str">
        <f>VLOOKUP(T196,Schlüssel!$A$5:$K$14,2)</f>
        <v>Praetoria Regensburg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Schlüssel!$CO$1</f>
        <v>15.03./16.03.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Schlüssel!$CE$2</f>
        <v>Brunnthal Max Munich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VLOOKUP(B205,Schlüssel!$A$5:$DZ$14,83)</f>
        <v>7</v>
      </c>
      <c r="E225" s="353"/>
      <c r="F225" s="353">
        <f>VLOOKUP(B205,Schlüssel!$A$5:$DZ$14,84)</f>
        <v>4</v>
      </c>
      <c r="G225" s="353"/>
      <c r="H225" s="353">
        <f>VLOOKUP(B205,Schlüssel!$A$5:$DZ$14,85)</f>
        <v>9</v>
      </c>
      <c r="I225" s="353"/>
      <c r="J225" s="353">
        <f>VLOOKUP(B205,Schlüssel!$A$5:$DZ$14,86)</f>
        <v>6</v>
      </c>
      <c r="K225" s="353"/>
      <c r="L225" s="353">
        <f>VLOOKUP(B205,Schlüssel!$A$5:$DZ$14,87)</f>
        <v>3</v>
      </c>
      <c r="M225" s="353"/>
      <c r="N225" s="353">
        <f>VLOOKUP(B205,Schlüssel!$A$5:$DZ$14,88)</f>
        <v>5</v>
      </c>
      <c r="O225" s="353"/>
      <c r="P225" s="353">
        <f>VLOOKUP(B205,Schlüssel!$A$5:$DZ$14,89)</f>
        <v>2</v>
      </c>
      <c r="Q225" s="353"/>
      <c r="R225" s="353">
        <f>VLOOKUP(B205,Schlüssel!$A$5:$DZ$14,90)</f>
        <v>1</v>
      </c>
      <c r="S225" s="353"/>
      <c r="T225" s="353">
        <f>VLOOKUP(B205,Schlüssel!$A$5:$DZ$14,91)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Frankenpower Nürnberg</v>
      </c>
      <c r="E226" s="356"/>
      <c r="F226" s="355" t="str">
        <f>VLOOKUP(F225,Schlüssel!$A$5:$K$14,2)</f>
        <v>BK München 3</v>
      </c>
      <c r="G226" s="356"/>
      <c r="H226" s="355" t="str">
        <f>VLOOKUP(H225,Schlüssel!$A$5:$K$14,2)</f>
        <v>RW Lichtenhof 69 Stein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>Praetoria Regensburg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Schlüssel!$CO$1</f>
        <v>15.03./16.03.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Schlüssel!$CE$2</f>
        <v>Brunnthal Max Munich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VLOOKUP(B234,Schlüssel!$A$5:$DZ$14,83)</f>
        <v>10</v>
      </c>
      <c r="E254" s="353"/>
      <c r="F254" s="353">
        <f>VLOOKUP(B234,Schlüssel!$A$5:$DZ$14,84)</f>
        <v>2</v>
      </c>
      <c r="G254" s="353"/>
      <c r="H254" s="353">
        <f>VLOOKUP(B234,Schlüssel!$A$5:$DZ$14,85)</f>
        <v>8</v>
      </c>
      <c r="I254" s="353"/>
      <c r="J254" s="353">
        <f>VLOOKUP(B234,Schlüssel!$A$5:$DZ$14,86)</f>
        <v>1</v>
      </c>
      <c r="K254" s="353"/>
      <c r="L254" s="353">
        <f>VLOOKUP(B234,Schlüssel!$A$5:$DZ$14,87)</f>
        <v>5</v>
      </c>
      <c r="M254" s="353"/>
      <c r="N254" s="353">
        <f>VLOOKUP(B234,Schlüssel!$A$5:$DZ$14,88)</f>
        <v>6</v>
      </c>
      <c r="O254" s="353"/>
      <c r="P254" s="353">
        <f>VLOOKUP(B234,Schlüssel!$A$5:$DZ$14,89)</f>
        <v>7</v>
      </c>
      <c r="Q254" s="353"/>
      <c r="R254" s="353">
        <f>VLOOKUP(B234,Schlüssel!$A$5:$DZ$14,90)</f>
        <v>3</v>
      </c>
      <c r="S254" s="353"/>
      <c r="T254" s="353">
        <f>VLOOKUP(B234,Schlüssel!$A$5:$DZ$14,91)</f>
        <v>4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4</v>
      </c>
      <c r="E255" s="356"/>
      <c r="F255" s="355" t="str">
        <f>VLOOKUP(F254,Schlüssel!$A$5:$K$14,2)</f>
        <v>BK München 2</v>
      </c>
      <c r="G255" s="356"/>
      <c r="H255" s="355" t="str">
        <f>VLOOKUP(H254,Schlüssel!$A$5:$K$14,2)</f>
        <v>EPA München 1</v>
      </c>
      <c r="I255" s="356"/>
      <c r="J255" s="355" t="str">
        <f>VLOOKUP(J254,Schlüssel!$A$5:$K$14,2)</f>
        <v>Praetoria Regensburg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Phönix 03 Lauf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Highroller Rosenheim</v>
      </c>
      <c r="S255" s="356"/>
      <c r="T255" s="355" t="str">
        <f>VLOOKUP(T254,Schlüssel!$A$5:$K$14,2)</f>
        <v>BK München 3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Schlüssel!$CO$1</f>
        <v>15.03./16.03.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Schlüssel!$CE$2</f>
        <v>Brunnthal Max Munich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VLOOKUP(B263,Schlüssel!$A$5:$DZ$14,83)</f>
        <v>9</v>
      </c>
      <c r="E283" s="353"/>
      <c r="F283" s="353">
        <f>VLOOKUP(B263,Schlüssel!$A$5:$DZ$14,84)</f>
        <v>5</v>
      </c>
      <c r="G283" s="353"/>
      <c r="H283" s="353">
        <f>VLOOKUP(B263,Schlüssel!$A$5:$DZ$14,85)</f>
        <v>1</v>
      </c>
      <c r="I283" s="353"/>
      <c r="J283" s="353">
        <f>VLOOKUP(B263,Schlüssel!$A$5:$DZ$14,86)</f>
        <v>2</v>
      </c>
      <c r="K283" s="353"/>
      <c r="L283" s="353">
        <f>VLOOKUP(B263,Schlüssel!$A$5:$DZ$14,87)</f>
        <v>7</v>
      </c>
      <c r="M283" s="353"/>
      <c r="N283" s="353">
        <f>VLOOKUP(B263,Schlüssel!$A$5:$DZ$14,88)</f>
        <v>4</v>
      </c>
      <c r="O283" s="353"/>
      <c r="P283" s="353">
        <f>VLOOKUP(B263,Schlüssel!$A$5:$DZ$14,89)</f>
        <v>3</v>
      </c>
      <c r="Q283" s="353"/>
      <c r="R283" s="353">
        <f>VLOOKUP(B263,Schlüssel!$A$5:$DZ$14,90)</f>
        <v>6</v>
      </c>
      <c r="S283" s="353"/>
      <c r="T283" s="353">
        <f>VLOOKUP(B263,Schlüssel!$A$5:$DZ$14,91)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RW Lichtenhof 69 Stein 2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Praetoria Regensburg</v>
      </c>
      <c r="I284" s="356"/>
      <c r="J284" s="355" t="str">
        <f>VLOOKUP(J283,Schlüssel!$A$5:$K$14,2)</f>
        <v>BK München 2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Highroller Rosenheim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15.03./16.03.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15.03./16.03.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2</v>
      </c>
      <c r="E22" s="353" t="str">
        <f t="shared" si="31"/>
        <v/>
      </c>
      <c r="F22" s="353">
        <f t="shared" si="31"/>
        <v>6</v>
      </c>
      <c r="G22" s="353" t="str">
        <f t="shared" si="31"/>
        <v/>
      </c>
      <c r="H22" s="353">
        <f t="shared" si="31"/>
        <v>10</v>
      </c>
      <c r="I22" s="353" t="str">
        <f t="shared" si="31"/>
        <v/>
      </c>
      <c r="J22" s="353">
        <f t="shared" si="31"/>
        <v>9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3</v>
      </c>
      <c r="O22" s="353" t="str">
        <f t="shared" si="32"/>
        <v/>
      </c>
      <c r="P22" s="353">
        <f t="shared" si="32"/>
        <v>5</v>
      </c>
      <c r="Q22" s="353" t="str">
        <f t="shared" si="32"/>
        <v/>
      </c>
      <c r="R22" s="353">
        <f t="shared" si="32"/>
        <v>8</v>
      </c>
      <c r="S22" s="353" t="str">
        <f t="shared" si="32"/>
        <v/>
      </c>
      <c r="T22" s="353">
        <f t="shared" si="32"/>
        <v>7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VLOOKUP($AA2,Schlüssel!$A$5:$DG$14,83)</f>
        <v>2</v>
      </c>
      <c r="AD22" s="368"/>
      <c r="AE22" s="367">
        <f>VLOOKUP($AA2,Schlüssel!$A$5:$EK$14,84)</f>
        <v>6</v>
      </c>
      <c r="AF22" s="368"/>
      <c r="AG22" s="367">
        <f>VLOOKUP($AA2,Schlüssel!$A$5:$EK$14,85)</f>
        <v>10</v>
      </c>
      <c r="AH22" s="368"/>
      <c r="AI22" s="367">
        <f>VLOOKUP($AA2,Schlüssel!$A$5:$EK$14,86)</f>
        <v>9</v>
      </c>
      <c r="AJ22" s="368"/>
      <c r="AK22" s="367">
        <f>VLOOKUP($AA2,Schlüssel!$A$5:$EK$14,87)</f>
        <v>4</v>
      </c>
      <c r="AL22" s="368"/>
      <c r="AM22" s="367">
        <f>VLOOKUP($AA2,Schlüssel!$A$5:$EK$14,88)</f>
        <v>3</v>
      </c>
      <c r="AN22" s="368"/>
      <c r="AO22" s="367">
        <f>VLOOKUP($AA2,Schlüssel!$A$5:$EK$14,89)</f>
        <v>5</v>
      </c>
      <c r="AP22" s="368"/>
      <c r="AQ22" s="367">
        <f>VLOOKUP($AA2,Schlüssel!$A$5:$EK$14,90)</f>
        <v>8</v>
      </c>
      <c r="AR22" s="368"/>
      <c r="AS22" s="367">
        <f>VLOOKUP($AA2,Schlüssel!$A$5:$EK$14,91)</f>
        <v>7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BK München 2</v>
      </c>
      <c r="E23" s="356" t="str">
        <f t="shared" si="31"/>
        <v/>
      </c>
      <c r="F23" s="355" t="str">
        <f t="shared" si="31"/>
        <v>Phönix 03 Lauf</v>
      </c>
      <c r="G23" s="356" t="str">
        <f t="shared" si="31"/>
        <v/>
      </c>
      <c r="H23" s="355" t="str">
        <f t="shared" si="31"/>
        <v>BK München 4</v>
      </c>
      <c r="I23" s="356" t="str">
        <f t="shared" si="31"/>
        <v/>
      </c>
      <c r="J23" s="355" t="str">
        <f t="shared" si="31"/>
        <v>RW Lichtenhof 69 Stein 2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Highroller Rosenheim</v>
      </c>
      <c r="O23" s="356" t="str">
        <f t="shared" si="32"/>
        <v/>
      </c>
      <c r="P23" s="355" t="str">
        <f t="shared" si="32"/>
        <v xml:space="preserve">Weiß Blau Unterföhring </v>
      </c>
      <c r="Q23" s="356" t="str">
        <f t="shared" si="32"/>
        <v/>
      </c>
      <c r="R23" s="355" t="str">
        <f t="shared" si="32"/>
        <v>EPA München 1</v>
      </c>
      <c r="S23" s="356" t="str">
        <f t="shared" si="32"/>
        <v/>
      </c>
      <c r="T23" s="355" t="str">
        <f t="shared" si="32"/>
        <v>Frankenpower Nürnberg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2</v>
      </c>
      <c r="AD23" s="356"/>
      <c r="AE23" s="355" t="str">
        <f>VLOOKUP(AE22,Schlüssel!$A$5:$K$14,2)</f>
        <v>Phönix 03 Lauf</v>
      </c>
      <c r="AF23" s="356"/>
      <c r="AG23" s="355" t="str">
        <f>VLOOKUP(AG22,Schlüssel!$A$5:$K$14,2)</f>
        <v>BK München 4</v>
      </c>
      <c r="AH23" s="356"/>
      <c r="AI23" s="355" t="str">
        <f>VLOOKUP(AI22,Schlüssel!$A$5:$K$14,2)</f>
        <v>RW Lichtenhof 69 Stein 2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Highroller Rosenheim</v>
      </c>
      <c r="AN23" s="356"/>
      <c r="AO23" s="355" t="str">
        <f>VLOOKUP(AO22,Schlüssel!$A$5:$K$14,2)</f>
        <v xml:space="preserve">Weiß Blau Unterföhring </v>
      </c>
      <c r="AP23" s="356"/>
      <c r="AQ23" s="355" t="str">
        <f>VLOOKUP(AQ22,Schlüssel!$A$5:$K$14,2)</f>
        <v>EPA München 1</v>
      </c>
      <c r="AR23" s="356"/>
      <c r="AS23" s="355" t="str">
        <f>VLOOKUP(AS22,Schlüssel!$A$5:$K$14,2)</f>
        <v>Frankenpower Nürnberg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15.03./16.03.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15.03./16.03.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Brunnthal Max Munich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1</v>
      </c>
      <c r="E52" s="353" t="str">
        <f t="shared" si="65"/>
        <v/>
      </c>
      <c r="F52" s="353">
        <f t="shared" si="65"/>
        <v>9</v>
      </c>
      <c r="G52" s="353" t="str">
        <f t="shared" si="65"/>
        <v/>
      </c>
      <c r="H52" s="353">
        <f t="shared" si="65"/>
        <v>3</v>
      </c>
      <c r="I52" s="353" t="str">
        <f t="shared" si="65"/>
        <v/>
      </c>
      <c r="J52" s="353">
        <f t="shared" si="65"/>
        <v>10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L52:U54" si="66">IF(AQ52=0,"",AQ52)</f>
        <v>4</v>
      </c>
      <c r="S52" s="353" t="str">
        <f t="shared" si="66"/>
        <v/>
      </c>
      <c r="T52" s="353">
        <f t="shared" si="66"/>
        <v>5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VLOOKUP($AA32,Schlüssel!$A$5:$DG$14,83)</f>
        <v>1</v>
      </c>
      <c r="AD52" s="368"/>
      <c r="AE52" s="367">
        <f>VLOOKUP($AA32,Schlüssel!$A$5:$EK$14,84)</f>
        <v>9</v>
      </c>
      <c r="AF52" s="368"/>
      <c r="AG52" s="367">
        <f>VLOOKUP($AA32,Schlüssel!$A$5:$EK$14,85)</f>
        <v>3</v>
      </c>
      <c r="AH52" s="368"/>
      <c r="AI52" s="367">
        <f>VLOOKUP($AA32,Schlüssel!$A$5:$EK$14,86)</f>
        <v>10</v>
      </c>
      <c r="AJ52" s="368"/>
      <c r="AK52" s="367">
        <f>VLOOKUP($AA32,Schlüssel!$A$5:$EK$14,87)</f>
        <v>6</v>
      </c>
      <c r="AL52" s="368"/>
      <c r="AM52" s="367">
        <f>VLOOKUP($AA32,Schlüssel!$A$5:$EK$14,88)</f>
        <v>7</v>
      </c>
      <c r="AN52" s="368"/>
      <c r="AO52" s="367">
        <f>VLOOKUP($AA32,Schlüssel!$A$5:$EK$14,89)</f>
        <v>8</v>
      </c>
      <c r="AP52" s="368"/>
      <c r="AQ52" s="367">
        <f>VLOOKUP($AA32,Schlüssel!$A$5:$EK$14,90)</f>
        <v>4</v>
      </c>
      <c r="AR52" s="368"/>
      <c r="AS52" s="367">
        <f>VLOOKUP($AA32,Schlüssel!$A$5:$EK$14,91)</f>
        <v>5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>Praetoria Regensburg</v>
      </c>
      <c r="E53" s="356" t="str">
        <f t="shared" si="67"/>
        <v/>
      </c>
      <c r="F53" s="355" t="str">
        <f t="shared" si="67"/>
        <v>RW Lichtenhof 69 Stein 2</v>
      </c>
      <c r="G53" s="356" t="str">
        <f t="shared" si="67"/>
        <v/>
      </c>
      <c r="H53" s="355" t="str">
        <f t="shared" si="67"/>
        <v>Highroller Rosenheim</v>
      </c>
      <c r="I53" s="356" t="str">
        <f t="shared" si="67"/>
        <v/>
      </c>
      <c r="J53" s="355" t="str">
        <f t="shared" si="67"/>
        <v>BK München 4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 xml:space="preserve">Weiß Blau Unterföhring 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Praetoria Regensburg</v>
      </c>
      <c r="AD53" s="356"/>
      <c r="AE53" s="355" t="str">
        <f>VLOOKUP(AE52,Schlüssel!$A$5:$K$14,2)</f>
        <v>RW Lichtenhof 69 Stein 2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BK München 4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 xml:space="preserve">Weiß Blau Unterföhring 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15.03./16.03.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15.03./16.03.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Brunnthal Max Munich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4</v>
      </c>
      <c r="E82" s="353" t="str">
        <f t="shared" si="100"/>
        <v/>
      </c>
      <c r="F82" s="353">
        <f t="shared" si="100"/>
        <v>7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5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1</v>
      </c>
      <c r="O82" s="353" t="str">
        <f t="shared" si="100"/>
        <v/>
      </c>
      <c r="P82" s="353">
        <f t="shared" si="100"/>
        <v>10</v>
      </c>
      <c r="Q82" s="353" t="str">
        <f t="shared" si="100"/>
        <v/>
      </c>
      <c r="R82" s="353">
        <f t="shared" ref="L82:U84" si="101">IF(AQ82=0,"",AQ82)</f>
        <v>9</v>
      </c>
      <c r="S82" s="353" t="str">
        <f t="shared" si="101"/>
        <v/>
      </c>
      <c r="T82" s="353">
        <f t="shared" si="101"/>
        <v>6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VLOOKUP($AA62,Schlüssel!$A$5:$DG$14,83)</f>
        <v>4</v>
      </c>
      <c r="AD82" s="368"/>
      <c r="AE82" s="367">
        <f>VLOOKUP($AA62,Schlüssel!$A$5:$EK$14,84)</f>
        <v>7</v>
      </c>
      <c r="AF82" s="368"/>
      <c r="AG82" s="367">
        <f>VLOOKUP($AA62,Schlüssel!$A$5:$EK$14,85)</f>
        <v>2</v>
      </c>
      <c r="AH82" s="368"/>
      <c r="AI82" s="367">
        <f>VLOOKUP($AA62,Schlüssel!$A$5:$EK$14,86)</f>
        <v>5</v>
      </c>
      <c r="AJ82" s="368"/>
      <c r="AK82" s="367">
        <f>VLOOKUP($AA62,Schlüssel!$A$5:$EK$14,87)</f>
        <v>8</v>
      </c>
      <c r="AL82" s="368"/>
      <c r="AM82" s="367">
        <f>VLOOKUP($AA62,Schlüssel!$A$5:$EK$14,88)</f>
        <v>1</v>
      </c>
      <c r="AN82" s="368"/>
      <c r="AO82" s="367">
        <f>VLOOKUP($AA62,Schlüssel!$A$5:$EK$14,89)</f>
        <v>10</v>
      </c>
      <c r="AP82" s="368"/>
      <c r="AQ82" s="367">
        <f>VLOOKUP($AA62,Schlüssel!$A$5:$EK$14,90)</f>
        <v>9</v>
      </c>
      <c r="AR82" s="368"/>
      <c r="AS82" s="367">
        <f>VLOOKUP($AA62,Schlüssel!$A$5:$EK$14,91)</f>
        <v>6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BK München 3</v>
      </c>
      <c r="E83" s="356" t="str">
        <f t="shared" si="102"/>
        <v/>
      </c>
      <c r="F83" s="355" t="str">
        <f t="shared" si="102"/>
        <v>Frankenpower Nürnberg</v>
      </c>
      <c r="G83" s="356" t="str">
        <f t="shared" si="102"/>
        <v/>
      </c>
      <c r="H83" s="355" t="str">
        <f t="shared" si="102"/>
        <v>BK München 2</v>
      </c>
      <c r="I83" s="356" t="str">
        <f t="shared" si="102"/>
        <v/>
      </c>
      <c r="J83" s="355" t="str">
        <f t="shared" si="102"/>
        <v xml:space="preserve">Weiß Blau Unterföhring 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>Praetoria Regensburg</v>
      </c>
      <c r="O83" s="356" t="str">
        <f t="shared" si="101"/>
        <v/>
      </c>
      <c r="P83" s="355" t="str">
        <f t="shared" si="101"/>
        <v>BK München 4</v>
      </c>
      <c r="Q83" s="356" t="str">
        <f t="shared" si="101"/>
        <v/>
      </c>
      <c r="R83" s="355" t="str">
        <f t="shared" si="101"/>
        <v>RW Lichtenhof 69 Stein 2</v>
      </c>
      <c r="S83" s="356" t="str">
        <f t="shared" si="101"/>
        <v/>
      </c>
      <c r="T83" s="355" t="str">
        <f t="shared" si="101"/>
        <v>Phönix 03 Lauf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3</v>
      </c>
      <c r="AD83" s="356"/>
      <c r="AE83" s="355" t="str">
        <f>VLOOKUP(AE82,Schlüssel!$A$5:$K$14,2)</f>
        <v>Frankenpower Nürnberg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 xml:space="preserve">Weiß Blau Unterföhring 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>Praetoria Regensburg</v>
      </c>
      <c r="AN83" s="356"/>
      <c r="AO83" s="355" t="str">
        <f>VLOOKUP(AO82,Schlüssel!$A$5:$K$14,2)</f>
        <v>BK München 4</v>
      </c>
      <c r="AP83" s="356"/>
      <c r="AQ83" s="355" t="str">
        <f>VLOOKUP(AQ82,Schlüssel!$A$5:$K$14,2)</f>
        <v>RW Lichtenhof 69 Stein 2</v>
      </c>
      <c r="AR83" s="356"/>
      <c r="AS83" s="355" t="str">
        <f>VLOOKUP(AS82,Schlüssel!$A$5:$K$14,2)</f>
        <v>Phönix 03 Lauf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15.03./16.03.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15.03./16.03.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Brunnthal Max Munich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3</v>
      </c>
      <c r="E112" s="353" t="str">
        <f t="shared" si="135"/>
        <v/>
      </c>
      <c r="F112" s="353">
        <f t="shared" si="135"/>
        <v>8</v>
      </c>
      <c r="G112" s="353" t="str">
        <f t="shared" si="135"/>
        <v/>
      </c>
      <c r="H112" s="353">
        <f t="shared" si="135"/>
        <v>5</v>
      </c>
      <c r="I112" s="353" t="str">
        <f t="shared" si="135"/>
        <v/>
      </c>
      <c r="J112" s="353">
        <f t="shared" si="135"/>
        <v>7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6</v>
      </c>
      <c r="Q112" s="353" t="str">
        <f t="shared" si="135"/>
        <v/>
      </c>
      <c r="R112" s="353">
        <f t="shared" ref="L112:U114" si="136">IF(AQ112=0,"",AQ112)</f>
        <v>2</v>
      </c>
      <c r="S112" s="353" t="str">
        <f t="shared" si="136"/>
        <v/>
      </c>
      <c r="T112" s="353">
        <f t="shared" si="136"/>
        <v>9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VLOOKUP($AA92,Schlüssel!$A$5:$DG$14,83)</f>
        <v>3</v>
      </c>
      <c r="AD112" s="368"/>
      <c r="AE112" s="367">
        <f>VLOOKUP($AA92,Schlüssel!$A$5:$EK$14,84)</f>
        <v>8</v>
      </c>
      <c r="AF112" s="368"/>
      <c r="AG112" s="367">
        <f>VLOOKUP($AA92,Schlüssel!$A$5:$EK$14,85)</f>
        <v>5</v>
      </c>
      <c r="AH112" s="368"/>
      <c r="AI112" s="367">
        <f>VLOOKUP($AA92,Schlüssel!$A$5:$EK$14,86)</f>
        <v>7</v>
      </c>
      <c r="AJ112" s="368"/>
      <c r="AK112" s="367">
        <f>VLOOKUP($AA92,Schlüssel!$A$5:$EK$14,87)</f>
        <v>1</v>
      </c>
      <c r="AL112" s="368"/>
      <c r="AM112" s="367">
        <f>VLOOKUP($AA92,Schlüssel!$A$5:$EK$14,88)</f>
        <v>10</v>
      </c>
      <c r="AN112" s="368"/>
      <c r="AO112" s="367">
        <f>VLOOKUP($AA92,Schlüssel!$A$5:$EK$14,89)</f>
        <v>6</v>
      </c>
      <c r="AP112" s="368"/>
      <c r="AQ112" s="367">
        <f>VLOOKUP($AA92,Schlüssel!$A$5:$EK$14,90)</f>
        <v>2</v>
      </c>
      <c r="AR112" s="368"/>
      <c r="AS112" s="367">
        <f>VLOOKUP($AA92,Schlüssel!$A$5:$EK$14,91)</f>
        <v>9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Highroller Rosenheim</v>
      </c>
      <c r="E113" s="356" t="str">
        <f t="shared" si="137"/>
        <v/>
      </c>
      <c r="F113" s="355" t="str">
        <f t="shared" si="137"/>
        <v>EPA München 1</v>
      </c>
      <c r="G113" s="356" t="str">
        <f t="shared" si="137"/>
        <v/>
      </c>
      <c r="H113" s="355" t="str">
        <f t="shared" si="137"/>
        <v xml:space="preserve">Weiß Blau Unterföhring </v>
      </c>
      <c r="I113" s="356" t="str">
        <f t="shared" si="137"/>
        <v/>
      </c>
      <c r="J113" s="355" t="str">
        <f t="shared" si="137"/>
        <v>Frankenpower Nürnberg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Phönix 03 Lauf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RW Lichtenhof 69 Stein 2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Highroller Rosenheim</v>
      </c>
      <c r="AD113" s="356"/>
      <c r="AE113" s="355" t="str">
        <f>VLOOKUP(AE112,Schlüssel!$A$5:$K$14,2)</f>
        <v>EPA München 1</v>
      </c>
      <c r="AF113" s="356"/>
      <c r="AG113" s="355" t="str">
        <f>VLOOKUP(AG112,Schlüssel!$A$5:$K$14,2)</f>
        <v xml:space="preserve">Weiß Blau Unterföhring 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Phönix 03 Lauf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RW Lichtenhof 69 Stein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15.03./16.03.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15.03./16.03.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Brunnthal Max Munich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6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4</v>
      </c>
      <c r="I142" s="353" t="str">
        <f t="shared" si="170"/>
        <v/>
      </c>
      <c r="J142" s="353">
        <f t="shared" si="170"/>
        <v>3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8</v>
      </c>
      <c r="O142" s="353" t="str">
        <f t="shared" si="170"/>
        <v/>
      </c>
      <c r="P142" s="353">
        <f t="shared" si="170"/>
        <v>1</v>
      </c>
      <c r="Q142" s="353" t="str">
        <f t="shared" si="170"/>
        <v/>
      </c>
      <c r="R142" s="353">
        <f t="shared" ref="L142:U144" si="171">IF(AQ142=0,"",AQ142)</f>
        <v>7</v>
      </c>
      <c r="S142" s="353" t="str">
        <f t="shared" si="171"/>
        <v/>
      </c>
      <c r="T142" s="353">
        <f t="shared" si="171"/>
        <v>2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VLOOKUP($AA122,Schlüssel!$A$5:$DG$14,83)</f>
        <v>6</v>
      </c>
      <c r="AD142" s="368"/>
      <c r="AE142" s="367">
        <f>VLOOKUP($AA122,Schlüssel!$A$5:$EK$14,84)</f>
        <v>10</v>
      </c>
      <c r="AF142" s="368"/>
      <c r="AG142" s="367">
        <f>VLOOKUP($AA122,Schlüssel!$A$5:$EK$14,85)</f>
        <v>4</v>
      </c>
      <c r="AH142" s="368"/>
      <c r="AI142" s="367">
        <f>VLOOKUP($AA122,Schlüssel!$A$5:$EK$14,86)</f>
        <v>3</v>
      </c>
      <c r="AJ142" s="368"/>
      <c r="AK142" s="367">
        <f>VLOOKUP($AA122,Schlüssel!$A$5:$EK$14,87)</f>
        <v>9</v>
      </c>
      <c r="AL142" s="368"/>
      <c r="AM142" s="367">
        <f>VLOOKUP($AA122,Schlüssel!$A$5:$EK$14,88)</f>
        <v>8</v>
      </c>
      <c r="AN142" s="368"/>
      <c r="AO142" s="367">
        <f>VLOOKUP($AA122,Schlüssel!$A$5:$EK$14,89)</f>
        <v>1</v>
      </c>
      <c r="AP142" s="368"/>
      <c r="AQ142" s="367">
        <f>VLOOKUP($AA122,Schlüssel!$A$5:$EK$14,90)</f>
        <v>7</v>
      </c>
      <c r="AR142" s="368"/>
      <c r="AS142" s="367">
        <f>VLOOKUP($AA122,Schlüssel!$A$5:$EK$14,91)</f>
        <v>2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Phönix 03 Lauf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BK München 3</v>
      </c>
      <c r="I143" s="356" t="str">
        <f t="shared" si="172"/>
        <v/>
      </c>
      <c r="J143" s="355" t="str">
        <f t="shared" si="172"/>
        <v>Highroller Rosenheim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EPA München 1</v>
      </c>
      <c r="O143" s="356" t="str">
        <f t="shared" si="171"/>
        <v/>
      </c>
      <c r="P143" s="355" t="str">
        <f t="shared" si="171"/>
        <v>Praetoria Regensburg</v>
      </c>
      <c r="Q143" s="356" t="str">
        <f t="shared" si="171"/>
        <v/>
      </c>
      <c r="R143" s="355" t="str">
        <f t="shared" si="171"/>
        <v>Frankenpower Nürnberg</v>
      </c>
      <c r="S143" s="356" t="str">
        <f t="shared" si="171"/>
        <v/>
      </c>
      <c r="T143" s="355" t="str">
        <f t="shared" si="171"/>
        <v>BK München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Phönix 03 Lauf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BK München 3</v>
      </c>
      <c r="AH143" s="356"/>
      <c r="AI143" s="355" t="str">
        <f>VLOOKUP(AI142,Schlüssel!$A$5:$K$14,2)</f>
        <v>Highroller Rosenheim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Praetoria Regensburg</v>
      </c>
      <c r="AP143" s="356"/>
      <c r="AQ143" s="355" t="str">
        <f>VLOOKUP(AQ142,Schlüssel!$A$5:$K$14,2)</f>
        <v>Frankenpower Nürnberg</v>
      </c>
      <c r="AR143" s="356"/>
      <c r="AS143" s="355" t="str">
        <f>VLOOKUP(AS142,Schlüssel!$A$5:$K$14,2)</f>
        <v>BK München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15.03./16.03.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15.03./16.03.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Brunnthal Max Munich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5</v>
      </c>
      <c r="E172" s="353" t="str">
        <f t="shared" si="205"/>
        <v/>
      </c>
      <c r="F172" s="353">
        <f t="shared" si="205"/>
        <v>1</v>
      </c>
      <c r="G172" s="353" t="str">
        <f t="shared" si="205"/>
        <v/>
      </c>
      <c r="H172" s="353">
        <f t="shared" si="205"/>
        <v>7</v>
      </c>
      <c r="I172" s="353" t="str">
        <f t="shared" si="205"/>
        <v/>
      </c>
      <c r="J172" s="353">
        <f t="shared" si="205"/>
        <v>8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9</v>
      </c>
      <c r="O172" s="353" t="str">
        <f t="shared" si="205"/>
        <v/>
      </c>
      <c r="P172" s="353">
        <f t="shared" si="205"/>
        <v>4</v>
      </c>
      <c r="Q172" s="353" t="str">
        <f t="shared" si="205"/>
        <v/>
      </c>
      <c r="R172" s="353">
        <f t="shared" ref="L172:U174" si="206">IF(AQ172=0,"",AQ172)</f>
        <v>10</v>
      </c>
      <c r="S172" s="353" t="str">
        <f t="shared" si="206"/>
        <v/>
      </c>
      <c r="T172" s="353">
        <f t="shared" si="206"/>
        <v>3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VLOOKUP($AA152,Schlüssel!$A$5:$DG$14,83)</f>
        <v>5</v>
      </c>
      <c r="AD172" s="368"/>
      <c r="AE172" s="367">
        <f>VLOOKUP($AA152,Schlüssel!$A$5:$EK$14,84)</f>
        <v>1</v>
      </c>
      <c r="AF172" s="368"/>
      <c r="AG172" s="367">
        <f>VLOOKUP($AA152,Schlüssel!$A$5:$EK$14,85)</f>
        <v>7</v>
      </c>
      <c r="AH172" s="368"/>
      <c r="AI172" s="367">
        <f>VLOOKUP($AA152,Schlüssel!$A$5:$EK$14,86)</f>
        <v>8</v>
      </c>
      <c r="AJ172" s="368"/>
      <c r="AK172" s="367">
        <f>VLOOKUP($AA152,Schlüssel!$A$5:$EK$14,87)</f>
        <v>2</v>
      </c>
      <c r="AL172" s="368"/>
      <c r="AM172" s="367">
        <f>VLOOKUP($AA152,Schlüssel!$A$5:$EK$14,88)</f>
        <v>9</v>
      </c>
      <c r="AN172" s="368"/>
      <c r="AO172" s="367">
        <f>VLOOKUP($AA152,Schlüssel!$A$5:$EK$14,89)</f>
        <v>4</v>
      </c>
      <c r="AP172" s="368"/>
      <c r="AQ172" s="367">
        <f>VLOOKUP($AA152,Schlüssel!$A$5:$EK$14,90)</f>
        <v>10</v>
      </c>
      <c r="AR172" s="368"/>
      <c r="AS172" s="367">
        <f>VLOOKUP($AA152,Schlüssel!$A$5:$EK$14,91)</f>
        <v>3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 xml:space="preserve">Weiß Blau Unterföhring </v>
      </c>
      <c r="E173" s="356" t="str">
        <f t="shared" si="207"/>
        <v/>
      </c>
      <c r="F173" s="355" t="str">
        <f t="shared" si="207"/>
        <v>Praetoria Regensburg</v>
      </c>
      <c r="G173" s="356" t="str">
        <f t="shared" si="207"/>
        <v/>
      </c>
      <c r="H173" s="355" t="str">
        <f t="shared" si="207"/>
        <v>Frankenpower Nürnberg</v>
      </c>
      <c r="I173" s="356" t="str">
        <f t="shared" si="207"/>
        <v/>
      </c>
      <c r="J173" s="355" t="str">
        <f t="shared" si="207"/>
        <v>EPA München 1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RW Lichtenhof 69 Stein 2</v>
      </c>
      <c r="O173" s="356" t="str">
        <f t="shared" si="206"/>
        <v/>
      </c>
      <c r="P173" s="355" t="str">
        <f t="shared" si="206"/>
        <v>BK München 3</v>
      </c>
      <c r="Q173" s="356" t="str">
        <f t="shared" si="206"/>
        <v/>
      </c>
      <c r="R173" s="355" t="str">
        <f t="shared" si="206"/>
        <v>BK München 4</v>
      </c>
      <c r="S173" s="356" t="str">
        <f t="shared" si="206"/>
        <v/>
      </c>
      <c r="T173" s="355" t="str">
        <f t="shared" si="206"/>
        <v>Highroller Rosenheim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 xml:space="preserve">Weiß Blau Unterföhring </v>
      </c>
      <c r="AD173" s="356"/>
      <c r="AE173" s="355" t="str">
        <f>VLOOKUP(AE172,Schlüssel!$A$5:$K$14,2)</f>
        <v>Praetoria Regensburg</v>
      </c>
      <c r="AF173" s="356"/>
      <c r="AG173" s="355" t="str">
        <f>VLOOKUP(AG172,Schlüssel!$A$5:$K$14,2)</f>
        <v>Frankenpower Nürnberg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RW Lichtenhof 69 Stein 2</v>
      </c>
      <c r="AN173" s="356"/>
      <c r="AO173" s="355" t="str">
        <f>VLOOKUP(AO172,Schlüssel!$A$5:$K$14,2)</f>
        <v>BK München 3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Highroller Rosenheim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15.03./16.03.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15.03./16.03.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Brunnthal Max Munich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8</v>
      </c>
      <c r="E202" s="353" t="str">
        <f t="shared" si="240"/>
        <v/>
      </c>
      <c r="F202" s="353">
        <f t="shared" si="240"/>
        <v>3</v>
      </c>
      <c r="G202" s="353" t="str">
        <f t="shared" si="240"/>
        <v/>
      </c>
      <c r="H202" s="353">
        <f t="shared" si="240"/>
        <v>6</v>
      </c>
      <c r="I202" s="353" t="str">
        <f t="shared" si="240"/>
        <v/>
      </c>
      <c r="J202" s="353">
        <f t="shared" si="240"/>
        <v>4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9</v>
      </c>
      <c r="Q202" s="353" t="str">
        <f t="shared" si="240"/>
        <v/>
      </c>
      <c r="R202" s="353">
        <f t="shared" ref="L202:U204" si="241">IF(AQ202=0,"",AQ202)</f>
        <v>5</v>
      </c>
      <c r="S202" s="353" t="str">
        <f t="shared" si="241"/>
        <v/>
      </c>
      <c r="T202" s="353">
        <f t="shared" si="241"/>
        <v>1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VLOOKUP($AA182,Schlüssel!$A$5:$DG$14,83)</f>
        <v>8</v>
      </c>
      <c r="AD202" s="368"/>
      <c r="AE202" s="367">
        <f>VLOOKUP($AA182,Schlüssel!$A$5:$EK$14,84)</f>
        <v>3</v>
      </c>
      <c r="AF202" s="368"/>
      <c r="AG202" s="367">
        <f>VLOOKUP($AA182,Schlüssel!$A$5:$EK$14,85)</f>
        <v>6</v>
      </c>
      <c r="AH202" s="368"/>
      <c r="AI202" s="367">
        <f>VLOOKUP($AA182,Schlüssel!$A$5:$EK$14,86)</f>
        <v>4</v>
      </c>
      <c r="AJ202" s="368"/>
      <c r="AK202" s="367">
        <f>VLOOKUP($AA182,Schlüssel!$A$5:$EK$14,87)</f>
        <v>10</v>
      </c>
      <c r="AL202" s="368"/>
      <c r="AM202" s="367">
        <f>VLOOKUP($AA182,Schlüssel!$A$5:$EK$14,88)</f>
        <v>2</v>
      </c>
      <c r="AN202" s="368"/>
      <c r="AO202" s="367">
        <f>VLOOKUP($AA182,Schlüssel!$A$5:$EK$14,89)</f>
        <v>9</v>
      </c>
      <c r="AP202" s="368"/>
      <c r="AQ202" s="367">
        <f>VLOOKUP($AA182,Schlüssel!$A$5:$EK$14,90)</f>
        <v>5</v>
      </c>
      <c r="AR202" s="368"/>
      <c r="AS202" s="367">
        <f>VLOOKUP($AA182,Schlüssel!$A$5:$EK$14,91)</f>
        <v>1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EPA München 1</v>
      </c>
      <c r="E203" s="356" t="str">
        <f t="shared" si="242"/>
        <v/>
      </c>
      <c r="F203" s="355" t="str">
        <f t="shared" si="242"/>
        <v>Highroller Rosenheim</v>
      </c>
      <c r="G203" s="356" t="str">
        <f t="shared" si="242"/>
        <v/>
      </c>
      <c r="H203" s="355" t="str">
        <f t="shared" si="242"/>
        <v>Phönix 03 Lauf</v>
      </c>
      <c r="I203" s="356" t="str">
        <f t="shared" si="242"/>
        <v/>
      </c>
      <c r="J203" s="355" t="str">
        <f t="shared" si="242"/>
        <v>BK München 3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RW Lichtenhof 69 Stein 2</v>
      </c>
      <c r="Q203" s="356" t="str">
        <f t="shared" si="241"/>
        <v/>
      </c>
      <c r="R203" s="355" t="str">
        <f t="shared" si="241"/>
        <v xml:space="preserve">Weiß Blau Unterföhring </v>
      </c>
      <c r="S203" s="356" t="str">
        <f t="shared" si="241"/>
        <v/>
      </c>
      <c r="T203" s="355" t="str">
        <f t="shared" si="241"/>
        <v>Praetoria Regensburg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EPA München 1</v>
      </c>
      <c r="AD203" s="356"/>
      <c r="AE203" s="355" t="str">
        <f>VLOOKUP(AE202,Schlüssel!$A$5:$K$14,2)</f>
        <v>Highroller Rosenheim</v>
      </c>
      <c r="AF203" s="356"/>
      <c r="AG203" s="355" t="str">
        <f>VLOOKUP(AG202,Schlüssel!$A$5:$K$14,2)</f>
        <v>Phönix 03 Lauf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 xml:space="preserve">Weiß Blau Unterföhring </v>
      </c>
      <c r="AR203" s="356"/>
      <c r="AS203" s="355" t="str">
        <f>VLOOKUP(AS202,Schlüssel!$A$5:$K$14,2)</f>
        <v>Praetoria Regensburg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15.03./16.03.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15.03./16.03.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Brunnthal Max Munich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7</v>
      </c>
      <c r="E232" s="353" t="str">
        <f t="shared" si="275"/>
        <v/>
      </c>
      <c r="F232" s="353">
        <f t="shared" si="275"/>
        <v>4</v>
      </c>
      <c r="G232" s="353" t="str">
        <f t="shared" si="275"/>
        <v/>
      </c>
      <c r="H232" s="353">
        <f t="shared" si="275"/>
        <v>9</v>
      </c>
      <c r="I232" s="353" t="str">
        <f t="shared" si="275"/>
        <v/>
      </c>
      <c r="J232" s="353">
        <f t="shared" si="275"/>
        <v>6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5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L232:U234" si="276">IF(AQ232=0,"",AQ232)</f>
        <v>1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VLOOKUP($AA212,Schlüssel!$A$5:$DG$14,83)</f>
        <v>7</v>
      </c>
      <c r="AD232" s="368"/>
      <c r="AE232" s="367">
        <f>VLOOKUP($AA212,Schlüssel!$A$5:$EK$14,84)</f>
        <v>4</v>
      </c>
      <c r="AF232" s="368"/>
      <c r="AG232" s="367">
        <f>VLOOKUP($AA212,Schlüssel!$A$5:$EK$14,85)</f>
        <v>9</v>
      </c>
      <c r="AH232" s="368"/>
      <c r="AI232" s="367">
        <f>VLOOKUP($AA212,Schlüssel!$A$5:$EK$14,86)</f>
        <v>6</v>
      </c>
      <c r="AJ232" s="368"/>
      <c r="AK232" s="367">
        <f>VLOOKUP($AA212,Schlüssel!$A$5:$EK$14,87)</f>
        <v>3</v>
      </c>
      <c r="AL232" s="368"/>
      <c r="AM232" s="367">
        <f>VLOOKUP($AA212,Schlüssel!$A$5:$EK$14,88)</f>
        <v>5</v>
      </c>
      <c r="AN232" s="368"/>
      <c r="AO232" s="367">
        <f>VLOOKUP($AA212,Schlüssel!$A$5:$EK$14,89)</f>
        <v>2</v>
      </c>
      <c r="AP232" s="368"/>
      <c r="AQ232" s="367">
        <f>VLOOKUP($AA212,Schlüssel!$A$5:$EK$14,90)</f>
        <v>1</v>
      </c>
      <c r="AR232" s="368"/>
      <c r="AS232" s="367">
        <f>VLOOKUP($AA212,Schlüssel!$A$5:$EK$14,91)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Frankenpower Nürnberg</v>
      </c>
      <c r="E233" s="356" t="str">
        <f t="shared" si="277"/>
        <v/>
      </c>
      <c r="F233" s="355" t="str">
        <f t="shared" si="277"/>
        <v>BK München 3</v>
      </c>
      <c r="G233" s="356" t="str">
        <f t="shared" si="277"/>
        <v/>
      </c>
      <c r="H233" s="355" t="str">
        <f t="shared" si="277"/>
        <v>RW Lichtenhof 69 Stein 2</v>
      </c>
      <c r="I233" s="356" t="str">
        <f t="shared" si="277"/>
        <v/>
      </c>
      <c r="J233" s="355" t="str">
        <f t="shared" si="277"/>
        <v>Phönix 03 Lauf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 xml:space="preserve">Weiß Blau Unterföhring 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>Praetoria Regensburg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Frankenpower Nürnberg</v>
      </c>
      <c r="AD233" s="356"/>
      <c r="AE233" s="355" t="str">
        <f>VLOOKUP(AE232,Schlüssel!$A$5:$K$14,2)</f>
        <v>BK München 3</v>
      </c>
      <c r="AF233" s="356"/>
      <c r="AG233" s="355" t="str">
        <f>VLOOKUP(AG232,Schlüssel!$A$5:$K$14,2)</f>
        <v>RW Lichtenhof 69 Stein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>Praetoria Regensburg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15.03./16.03.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15.03./16.03.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Brunnthal Max Munich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10</v>
      </c>
      <c r="E262" s="353" t="str">
        <f t="shared" si="310"/>
        <v/>
      </c>
      <c r="F262" s="353">
        <f t="shared" si="310"/>
        <v>2</v>
      </c>
      <c r="G262" s="353" t="str">
        <f t="shared" si="310"/>
        <v/>
      </c>
      <c r="H262" s="353">
        <f t="shared" si="310"/>
        <v>8</v>
      </c>
      <c r="I262" s="353" t="str">
        <f t="shared" si="310"/>
        <v/>
      </c>
      <c r="J262" s="353">
        <f t="shared" si="310"/>
        <v>1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6</v>
      </c>
      <c r="O262" s="353" t="str">
        <f t="shared" si="310"/>
        <v/>
      </c>
      <c r="P262" s="353">
        <f t="shared" si="310"/>
        <v>7</v>
      </c>
      <c r="Q262" s="353" t="str">
        <f t="shared" si="310"/>
        <v/>
      </c>
      <c r="R262" s="353">
        <f t="shared" ref="L262:U264" si="311">IF(AQ262=0,"",AQ262)</f>
        <v>3</v>
      </c>
      <c r="S262" s="353" t="str">
        <f t="shared" si="311"/>
        <v/>
      </c>
      <c r="T262" s="353">
        <f t="shared" si="311"/>
        <v>4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VLOOKUP($AA242,Schlüssel!$A$5:$DG$14,83)</f>
        <v>10</v>
      </c>
      <c r="AD262" s="368"/>
      <c r="AE262" s="367">
        <f>VLOOKUP($AA242,Schlüssel!$A$5:$EK$14,84)</f>
        <v>2</v>
      </c>
      <c r="AF262" s="368"/>
      <c r="AG262" s="367">
        <f>VLOOKUP($AA242,Schlüssel!$A$5:$EK$14,85)</f>
        <v>8</v>
      </c>
      <c r="AH262" s="368"/>
      <c r="AI262" s="367">
        <f>VLOOKUP($AA242,Schlüssel!$A$5:$EK$14,86)</f>
        <v>1</v>
      </c>
      <c r="AJ262" s="368"/>
      <c r="AK262" s="367">
        <f>VLOOKUP($AA242,Schlüssel!$A$5:$EK$14,87)</f>
        <v>5</v>
      </c>
      <c r="AL262" s="368"/>
      <c r="AM262" s="367">
        <f>VLOOKUP($AA242,Schlüssel!$A$5:$EK$14,88)</f>
        <v>6</v>
      </c>
      <c r="AN262" s="368"/>
      <c r="AO262" s="367">
        <f>VLOOKUP($AA242,Schlüssel!$A$5:$EK$14,89)</f>
        <v>7</v>
      </c>
      <c r="AP262" s="368"/>
      <c r="AQ262" s="367">
        <f>VLOOKUP($AA242,Schlüssel!$A$5:$EK$14,90)</f>
        <v>3</v>
      </c>
      <c r="AR262" s="368"/>
      <c r="AS262" s="367">
        <f>VLOOKUP($AA242,Schlüssel!$A$5:$EK$14,91)</f>
        <v>4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4</v>
      </c>
      <c r="E263" s="356" t="str">
        <f t="shared" si="312"/>
        <v/>
      </c>
      <c r="F263" s="355" t="str">
        <f t="shared" si="312"/>
        <v>BK München 2</v>
      </c>
      <c r="G263" s="356" t="str">
        <f t="shared" si="312"/>
        <v/>
      </c>
      <c r="H263" s="355" t="str">
        <f t="shared" si="312"/>
        <v>EPA München 1</v>
      </c>
      <c r="I263" s="356" t="str">
        <f t="shared" si="312"/>
        <v/>
      </c>
      <c r="J263" s="355" t="str">
        <f t="shared" si="312"/>
        <v>Praetoria Regensburg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Phönix 03 Lauf</v>
      </c>
      <c r="O263" s="356" t="str">
        <f t="shared" si="311"/>
        <v/>
      </c>
      <c r="P263" s="355" t="str">
        <f t="shared" si="311"/>
        <v>Frankenpower Nürnberg</v>
      </c>
      <c r="Q263" s="356" t="str">
        <f t="shared" si="311"/>
        <v/>
      </c>
      <c r="R263" s="355" t="str">
        <f t="shared" si="311"/>
        <v>Highroller Rosenheim</v>
      </c>
      <c r="S263" s="356" t="str">
        <f t="shared" si="311"/>
        <v/>
      </c>
      <c r="T263" s="355" t="str">
        <f t="shared" si="311"/>
        <v>BK München 3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4</v>
      </c>
      <c r="AD263" s="356"/>
      <c r="AE263" s="355" t="str">
        <f>VLOOKUP(AE262,Schlüssel!$A$5:$K$14,2)</f>
        <v>BK München 2</v>
      </c>
      <c r="AF263" s="356"/>
      <c r="AG263" s="355" t="str">
        <f>VLOOKUP(AG262,Schlüssel!$A$5:$K$14,2)</f>
        <v>EPA München 1</v>
      </c>
      <c r="AH263" s="356"/>
      <c r="AI263" s="355" t="str">
        <f>VLOOKUP(AI262,Schlüssel!$A$5:$K$14,2)</f>
        <v>Praetoria Regensburg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Phönix 03 Lauf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Highroller Rosenheim</v>
      </c>
      <c r="AR263" s="356"/>
      <c r="AS263" s="355" t="str">
        <f>VLOOKUP(AS262,Schlüssel!$A$5:$K$14,2)</f>
        <v>BK München 3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15.03./16.03.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15.03./16.03.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Brunnthal Max Munich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9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1</v>
      </c>
      <c r="I292" s="353" t="str">
        <f t="shared" si="345"/>
        <v/>
      </c>
      <c r="J292" s="353">
        <f t="shared" si="345"/>
        <v>2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3</v>
      </c>
      <c r="Q292" s="353" t="str">
        <f t="shared" si="345"/>
        <v/>
      </c>
      <c r="R292" s="353">
        <f t="shared" ref="L292:U294" si="346">IF(AQ292=0,"",AQ292)</f>
        <v>6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VLOOKUP($AA272,Schlüssel!$A$5:$DG$14,83)</f>
        <v>9</v>
      </c>
      <c r="AD292" s="368"/>
      <c r="AE292" s="367">
        <f>VLOOKUP($AA272,Schlüssel!$A$5:$EK$14,84)</f>
        <v>5</v>
      </c>
      <c r="AF292" s="368"/>
      <c r="AG292" s="367">
        <f>VLOOKUP($AA272,Schlüssel!$A$5:$EK$14,85)</f>
        <v>1</v>
      </c>
      <c r="AH292" s="368"/>
      <c r="AI292" s="367">
        <f>VLOOKUP($AA272,Schlüssel!$A$5:$EK$14,86)</f>
        <v>2</v>
      </c>
      <c r="AJ292" s="368"/>
      <c r="AK292" s="367">
        <f>VLOOKUP($AA272,Schlüssel!$A$5:$EK$14,87)</f>
        <v>7</v>
      </c>
      <c r="AL292" s="368"/>
      <c r="AM292" s="367">
        <f>VLOOKUP($AA272,Schlüssel!$A$5:$EK$14,88)</f>
        <v>4</v>
      </c>
      <c r="AN292" s="368"/>
      <c r="AO292" s="367">
        <f>VLOOKUP($AA272,Schlüssel!$A$5:$EK$14,89)</f>
        <v>3</v>
      </c>
      <c r="AP292" s="368"/>
      <c r="AQ292" s="367">
        <f>VLOOKUP($AA272,Schlüssel!$A$5:$EK$14,90)</f>
        <v>6</v>
      </c>
      <c r="AR292" s="368"/>
      <c r="AS292" s="367">
        <f>VLOOKUP($AA272,Schlüssel!$A$5:$EK$14,91)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RW Lichtenhof 69 Stein 2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Praetoria Regensburg</v>
      </c>
      <c r="I293" s="356" t="str">
        <f t="shared" si="347"/>
        <v/>
      </c>
      <c r="J293" s="355" t="str">
        <f t="shared" si="347"/>
        <v>BK München 2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Highroller Rosenheim</v>
      </c>
      <c r="Q293" s="356" t="str">
        <f t="shared" si="346"/>
        <v/>
      </c>
      <c r="R293" s="355" t="str">
        <f t="shared" si="346"/>
        <v>Phönix 03 Lauf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RW Lichtenhof 69 Stein 2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Praetoria Regensburg</v>
      </c>
      <c r="AH293" s="356"/>
      <c r="AI293" s="355" t="str">
        <f>VLOOKUP(AI292,Schlüssel!$A$5:$K$14,2)</f>
        <v>BK München 2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Highroller Rosenheim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+Erfassung5!AE2</f>
        <v>Brunnthal Max Munich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72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81" t="str">
        <f>IFERROR(ROUND(INDEX(Erfassung5!BW:BW,MATCH(1,Erfassung5!BZ:BZ,0)),0),"")&amp;"  /  "&amp;ROUND(IFERROR(ROUND(INDEX(Erfassung5!BW:BW,MATCH(1,Erfassung5!BZ:BZ,0)),0),"")/9,2)</f>
        <v>0  /  0</v>
      </c>
      <c r="O24" s="381"/>
      <c r="P24" s="381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6" t="s">
        <v>1799</v>
      </c>
      <c r="N5" s="377"/>
      <c r="O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5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2794</v>
      </c>
      <c r="N2">
        <f>INDEX(SchnittGes4!N:N,MATCH(L2,SchnittGes4!L:L,0))+INDEX(Schnitt5!N:N,MATCH(L2,Schnitt5!L:L,0))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1181</v>
      </c>
      <c r="N3">
        <f>INDEX(SchnittGes4!N:N,MATCH(L3,SchnittGes4!L:L,0))+INDEX(Schnitt5!N:N,MATCH(L3,Schnitt5!L:L,0))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1681</v>
      </c>
      <c r="N4">
        <f>INDEX(SchnittGes4!N:N,MATCH(L4,SchnittGes4!L:L,0))+INDEX(Schnitt5!N:N,MATCH(L4,Schnitt5!L:L,0))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INDEX(SchnittGes4!M:M,MATCH(L5,SchnittGes4!L:L,0))+INDEX(Schnitt5!M:M,MATCH(L5,Schnitt5!L:L,0))</f>
        <v>1117</v>
      </c>
      <c r="N5">
        <f>INDEX(SchnittGes4!N:N,MATCH(L5,SchnittGes4!L:L,0))+INDEX(Schnitt5!N:N,MATCH(L5,Schnitt5!L:L,0))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INDEX(SchnittGes4!M:M,MATCH(L7,SchnittGes4!L:L,0))+INDEX(Schnitt5!M:M,MATCH(L7,Schnitt5!L:L,0))</f>
        <v>3312</v>
      </c>
      <c r="N7">
        <f>INDEX(SchnittGes4!N:N,MATCH(L7,SchnittGes4!L:L,0))+INDEX(Schnitt5!N:N,MATCH(L7,Schnitt5!L:L,0))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INDEX(SchnittGes4!M:M,MATCH(L9,SchnittGes4!L:L,0))+INDEX(Schnitt5!M:M,MATCH(L9,Schnitt5!L:L,0))</f>
        <v>3492</v>
      </c>
      <c r="N9">
        <f>INDEX(SchnittGes4!N:N,MATCH(L9,SchnittGes4!L:L,0))+INDEX(Schnitt5!N:N,MATCH(L9,Schnitt5!L:L,0))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INDEX(SchnittGes4!M:M,MATCH(L10,SchnittGes4!L:L,0))+INDEX(Schnitt5!M:M,MATCH(L10,Schnitt5!L:L,0))</f>
        <v>3376</v>
      </c>
      <c r="N10">
        <f>INDEX(SchnittGes4!N:N,MATCH(L10,SchnittGes4!L:L,0))+INDEX(Schnitt5!N:N,MATCH(L10,Schnitt5!L:L,0))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INDEX(SchnittGes4!M:M,MATCH(L11,SchnittGes4!L:L,0))+INDEX(Schnitt5!M:M,MATCH(L11,Schnitt5!L:L,0))</f>
        <v>3084</v>
      </c>
      <c r="N11">
        <f>INDEX(SchnittGes4!N:N,MATCH(L11,SchnittGes4!L:L,0))+INDEX(Schnitt5!N:N,MATCH(L11,Schnitt5!L:L,0))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INDEX(SchnittGes4!M:M,MATCH(L12,SchnittGes4!L:L,0))+INDEX(Schnitt5!M:M,MATCH(L12,Schnitt5!L:L,0))</f>
        <v>3125</v>
      </c>
      <c r="N12">
        <f>INDEX(SchnittGes4!N:N,MATCH(L12,SchnittGes4!L:L,0))+INDEX(Schnitt5!N:N,MATCH(L12,Schnitt5!L:L,0))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INDEX(SchnittGes4!M:M,MATCH(L13,SchnittGes4!L:L,0))+INDEX(Schnitt5!M:M,MATCH(L13,Schnitt5!L:L,0))</f>
        <v>3103</v>
      </c>
      <c r="N13">
        <f>INDEX(SchnittGes4!N:N,MATCH(L13,SchnittGes4!L:L,0))+INDEX(Schnitt5!N:N,MATCH(L13,Schnitt5!L:L,0))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INDEX(SchnittGes4!M:M,MATCH(L14,SchnittGes4!L:L,0))+INDEX(Schnitt5!M:M,MATCH(L14,Schnitt5!L:L,0))</f>
        <v>2791</v>
      </c>
      <c r="N14">
        <f>INDEX(SchnittGes4!N:N,MATCH(L14,SchnittGes4!L:L,0))+INDEX(Schnitt5!N:N,MATCH(L14,Schnitt5!L:L,0))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INDEX(SchnittGes4!M:M,MATCH(L15,SchnittGes4!L:L,0))+INDEX(Schnitt5!M:M,MATCH(L15,Schnitt5!L:L,0))</f>
        <v>772</v>
      </c>
      <c r="N15">
        <f>INDEX(SchnittGes4!N:N,MATCH(L15,SchnittGes4!L:L,0))+INDEX(Schnitt5!N:N,MATCH(L15,Schnitt5!L:L,0))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INDEX(SchnittGes4!M:M,MATCH(L16,SchnittGes4!L:L,0))+INDEX(Schnitt5!M:M,MATCH(L16,Schnitt5!L:L,0))</f>
        <v>3454</v>
      </c>
      <c r="N16">
        <f>INDEX(SchnittGes4!N:N,MATCH(L16,SchnittGes4!L:L,0))+INDEX(Schnitt5!N:N,MATCH(L16,Schnitt5!L:L,0))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INDEX(SchnittGes4!M:M,MATCH(L17,SchnittGes4!L:L,0))+INDEX(Schnitt5!M:M,MATCH(L17,Schnitt5!L:L,0))</f>
        <v>1641</v>
      </c>
      <c r="N17">
        <f>INDEX(SchnittGes4!N:N,MATCH(L17,SchnittGes4!L:L,0))+INDEX(Schnitt5!N:N,MATCH(L17,Schnitt5!L:L,0))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INDEX(SchnittGes4!M:M,MATCH(L18,SchnittGes4!L:L,0))+INDEX(Schnitt5!M:M,MATCH(L18,Schnitt5!L:L,0))</f>
        <v>3317</v>
      </c>
      <c r="N18">
        <f>INDEX(SchnittGes4!N:N,MATCH(L18,SchnittGes4!L:L,0))+INDEX(Schnitt5!N:N,MATCH(L18,Schnitt5!L:L,0))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INDEX(SchnittGes4!M:M,MATCH(L19,SchnittGes4!L:L,0))+INDEX(Schnitt5!M:M,MATCH(L19,Schnitt5!L:L,0))</f>
        <v>1495</v>
      </c>
      <c r="N19">
        <f>INDEX(SchnittGes4!N:N,MATCH(L19,SchnittGes4!L:L,0))+INDEX(Schnitt5!N:N,MATCH(L19,Schnitt5!L:L,0))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INDEX(SchnittGes4!M:M,MATCH(L20,SchnittGes4!L:L,0))+INDEX(Schnitt5!M:M,MATCH(L20,Schnitt5!L:L,0))</f>
        <v>1893</v>
      </c>
      <c r="N20">
        <f>INDEX(SchnittGes4!N:N,MATCH(L20,SchnittGes4!L:L,0))+INDEX(Schnitt5!N:N,MATCH(L20,Schnitt5!L:L,0))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INDEX(SchnittGes4!M:M,MATCH(L21,SchnittGes4!L:L,0))+INDEX(Schnitt5!M:M,MATCH(L21,Schnitt5!L:L,0))</f>
        <v>960</v>
      </c>
      <c r="N21">
        <f>INDEX(SchnittGes4!N:N,MATCH(L21,SchnittGes4!L:L,0))+INDEX(Schnitt5!N:N,MATCH(L21,Schnitt5!L:L,0))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INDEX(SchnittGes4!M:M,MATCH(L22,SchnittGes4!L:L,0))+INDEX(Schnitt5!M:M,MATCH(L22,Schnitt5!L:L,0))</f>
        <v>983</v>
      </c>
      <c r="N22">
        <f>INDEX(SchnittGes4!N:N,MATCH(L22,SchnittGes4!L:L,0))+INDEX(Schnitt5!N:N,MATCH(L22,Schnitt5!L:L,0))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INDEX(SchnittGes4!M:M,MATCH(L24,SchnittGes4!L:L,0))+INDEX(Schnitt5!M:M,MATCH(L24,Schnitt5!L:L,0))</f>
        <v>3390</v>
      </c>
      <c r="N24">
        <f>INDEX(SchnittGes4!N:N,MATCH(L24,SchnittGes4!L:L,0))+INDEX(Schnitt5!N:N,MATCH(L24,Schnitt5!L:L,0))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INDEX(SchnittGes4!M:M,MATCH(L25,SchnittGes4!L:L,0))+INDEX(Schnitt5!M:M,MATCH(L25,Schnitt5!L:L,0))</f>
        <v>2838</v>
      </c>
      <c r="N25">
        <f>INDEX(SchnittGes4!N:N,MATCH(L25,SchnittGes4!L:L,0))+INDEX(Schnitt5!N:N,MATCH(L25,Schnitt5!L:L,0))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INDEX(SchnittGes4!M:M,MATCH(L26,SchnittGes4!L:L,0))+INDEX(Schnitt5!M:M,MATCH(L26,Schnitt5!L:L,0))</f>
        <v>1816</v>
      </c>
      <c r="N26">
        <f>INDEX(SchnittGes4!N:N,MATCH(L26,SchnittGes4!L:L,0))+INDEX(Schnitt5!N:N,MATCH(L26,Schnitt5!L:L,0))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INDEX(SchnittGes4!M:M,MATCH(L27,SchnittGes4!L:L,0))+INDEX(Schnitt5!M:M,MATCH(L27,Schnitt5!L:L,0))</f>
        <v>2433</v>
      </c>
      <c r="N27">
        <f>INDEX(SchnittGes4!N:N,MATCH(L27,SchnittGes4!L:L,0))+INDEX(Schnitt5!N:N,MATCH(L27,Schnitt5!L:L,0))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INDEX(SchnittGes4!M:M,MATCH(L29,SchnittGes4!L:L,0))+INDEX(Schnitt5!M:M,MATCH(L29,Schnitt5!L:L,0))</f>
        <v>3165</v>
      </c>
      <c r="N29">
        <f>INDEX(SchnittGes4!N:N,MATCH(L29,SchnittGes4!L:L,0))+INDEX(Schnitt5!N:N,MATCH(L29,Schnitt5!L:L,0))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INDEX(SchnittGes4!M:M,MATCH(L30,SchnittGes4!L:L,0))+INDEX(Schnitt5!M:M,MATCH(L30,Schnitt5!L:L,0))</f>
        <v>3025</v>
      </c>
      <c r="N30">
        <f>INDEX(SchnittGes4!N:N,MATCH(L30,SchnittGes4!L:L,0))+INDEX(Schnitt5!N:N,MATCH(L30,Schnitt5!L:L,0))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INDEX(SchnittGes4!M:M,MATCH(L31,SchnittGes4!L:L,0))+INDEX(Schnitt5!M:M,MATCH(L31,Schnitt5!L:L,0))</f>
        <v>2949</v>
      </c>
      <c r="N31">
        <f>INDEX(SchnittGes4!N:N,MATCH(L31,SchnittGes4!L:L,0))+INDEX(Schnitt5!N:N,MATCH(L31,Schnitt5!L:L,0))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INDEX(SchnittGes4!M:M,MATCH(L32,SchnittGes4!L:L,0))+INDEX(Schnitt5!M:M,MATCH(L32,Schnitt5!L:L,0))</f>
        <v>3252</v>
      </c>
      <c r="N32">
        <f>INDEX(SchnittGes4!N:N,MATCH(L32,SchnittGes4!L:L,0))+INDEX(Schnitt5!N:N,MATCH(L32,Schnitt5!L:L,0))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INDEX(SchnittGes4!M:M,MATCH(L42,SchnittGes4!L:L,0))+INDEX(Schnitt5!M:M,MATCH(L42,Schnitt5!L:L,0))</f>
        <v>1308</v>
      </c>
      <c r="N42">
        <f>INDEX(SchnittGes4!N:N,MATCH(L42,SchnittGes4!L:L,0))+INDEX(Schnitt5!N:N,MATCH(L42,Schnitt5!L:L,0))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INDEX(SchnittGes4!M:M,MATCH(L44,SchnittGes4!L:L,0))+INDEX(Schnitt5!M:M,MATCH(L44,Schnitt5!L:L,0))</f>
        <v>3223</v>
      </c>
      <c r="N44">
        <f>INDEX(SchnittGes4!N:N,MATCH(L44,SchnittGes4!L:L,0))+INDEX(Schnitt5!N:N,MATCH(L44,Schnitt5!L:L,0))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INDEX(SchnittGes4!M:M,MATCH(L45,SchnittGes4!L:L,0))+INDEX(Schnitt5!M:M,MATCH(L45,Schnitt5!L:L,0))</f>
        <v>3101</v>
      </c>
      <c r="N45">
        <f>INDEX(SchnittGes4!N:N,MATCH(L45,SchnittGes4!L:L,0))+INDEX(Schnitt5!N:N,MATCH(L45,Schnitt5!L:L,0))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INDEX(SchnittGes4!M:M,MATCH(L46,SchnittGes4!L:L,0))+INDEX(Schnitt5!M:M,MATCH(L46,Schnitt5!L:L,0))</f>
        <v>2715</v>
      </c>
      <c r="N46">
        <f>INDEX(SchnittGes4!N:N,MATCH(L46,SchnittGes4!L:L,0))+INDEX(Schnitt5!N:N,MATCH(L46,Schnitt5!L:L,0))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INDEX(SchnittGes4!M:M,MATCH(L49,SchnittGes4!L:L,0))+INDEX(Schnitt5!M:M,MATCH(L49,Schnitt5!L:L,0))</f>
        <v>575</v>
      </c>
      <c r="N49">
        <f>INDEX(SchnittGes4!N:N,MATCH(L49,SchnittGes4!L:L,0))+INDEX(Schnitt5!N:N,MATCH(L49,Schnitt5!L:L,0))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INDEX(SchnittGes4!M:M,MATCH(L51,SchnittGes4!L:L,0))+INDEX(Schnitt5!M:M,MATCH(L51,Schnitt5!L:L,0))</f>
        <v>1516</v>
      </c>
      <c r="N51">
        <f>INDEX(SchnittGes4!N:N,MATCH(L51,SchnittGes4!L:L,0))+INDEX(Schnitt5!N:N,MATCH(L51,Schnitt5!L:L,0))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INDEX(SchnittGes4!M:M,MATCH(L52,SchnittGes4!L:L,0))+INDEX(Schnitt5!M:M,MATCH(L52,Schnitt5!L:L,0))</f>
        <v>1102</v>
      </c>
      <c r="N52">
        <f>INDEX(SchnittGes4!N:N,MATCH(L52,SchnittGes4!L:L,0))+INDEX(Schnitt5!N:N,MATCH(L52,Schnitt5!L:L,0))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INDEX(SchnittGes4!M:M,MATCH(L54,SchnittGes4!L:L,0))+INDEX(Schnitt5!M:M,MATCH(L54,Schnitt5!L:L,0))</f>
        <v>2473</v>
      </c>
      <c r="N54">
        <f>INDEX(SchnittGes4!N:N,MATCH(L54,SchnittGes4!L:L,0))+INDEX(Schnitt5!N:N,MATCH(L54,Schnitt5!L:L,0))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INDEX(SchnittGes4!M:M,MATCH(L55,SchnittGes4!L:L,0))+INDEX(Schnitt5!M:M,MATCH(L55,Schnitt5!L:L,0))</f>
        <v>3268</v>
      </c>
      <c r="N55">
        <f>INDEX(SchnittGes4!N:N,MATCH(L55,SchnittGes4!L:L,0))+INDEX(Schnitt5!N:N,MATCH(L55,Schnitt5!L:L,0))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INDEX(SchnittGes4!M:M,MATCH(L56,SchnittGes4!L:L,0))+INDEX(Schnitt5!M:M,MATCH(L56,Schnitt5!L:L,0))</f>
        <v>3591</v>
      </c>
      <c r="N56">
        <f>INDEX(SchnittGes4!N:N,MATCH(L56,SchnittGes4!L:L,0))+INDEX(Schnitt5!N:N,MATCH(L56,Schnitt5!L:L,0))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INDEX(SchnittGes4!M:M,MATCH(L57,SchnittGes4!L:L,0))+INDEX(Schnitt5!M:M,MATCH(L57,Schnitt5!L:L,0))</f>
        <v>2839</v>
      </c>
      <c r="N57">
        <f>INDEX(SchnittGes4!N:N,MATCH(L57,SchnittGes4!L:L,0))+INDEX(Schnitt5!N:N,MATCH(L57,Schnitt5!L:L,0))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3066</v>
      </c>
      <c r="N59">
        <f>INDEX(SchnittGes4!N:N,MATCH(L59,SchnittGes4!L:L,0))+INDEX(Schnitt5!N:N,MATCH(L59,Schnitt5!L:L,0))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2908</v>
      </c>
      <c r="N60">
        <f>INDEX(SchnittGes4!N:N,MATCH(L60,SchnittGes4!L:L,0))+INDEX(Schnitt5!N:N,MATCH(L60,Schnitt5!L:L,0))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3200</v>
      </c>
      <c r="N61">
        <f>INDEX(SchnittGes4!N:N,MATCH(L61,SchnittGes4!L:L,0))+INDEX(Schnitt5!N:N,MATCH(L61,Schnitt5!L:L,0))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2566</v>
      </c>
      <c r="N65">
        <f>INDEX(SchnittGes4!N:N,MATCH(L65,SchnittGes4!L:L,0))+INDEX(Schnitt5!N:N,MATCH(L65,Schnitt5!L:L,0))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1368</v>
      </c>
      <c r="N66">
        <f>INDEX(SchnittGes4!N:N,MATCH(L66,SchnittGes4!L:L,0))+INDEX(Schnitt5!N:N,MATCH(L66,Schnitt5!L:L,0))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2351</v>
      </c>
      <c r="N67">
        <f>INDEX(SchnittGes4!N:N,MATCH(L67,SchnittGes4!L:L,0))+INDEX(Schnitt5!N:N,MATCH(L67,Schnitt5!L:L,0))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885</v>
      </c>
      <c r="N68">
        <f>INDEX(SchnittGes4!N:N,MATCH(L68,SchnittGes4!L:L,0))+INDEX(Schnitt5!N:N,MATCH(L68,Schnitt5!L:L,0))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3168</v>
      </c>
      <c r="N69">
        <f>INDEX(SchnittGes4!N:N,MATCH(L69,SchnittGes4!L:L,0))+INDEX(Schnitt5!N:N,MATCH(L69,Schnitt5!L:L,0))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3034</v>
      </c>
      <c r="N70">
        <f>INDEX(SchnittGes4!N:N,MATCH(L70,SchnittGes4!L:L,0))+INDEX(Schnitt5!N:N,MATCH(L70,Schnitt5!L:L,0))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3347</v>
      </c>
      <c r="N71">
        <f>INDEX(SchnittGes4!N:N,MATCH(L71,SchnittGes4!L:L,0))+INDEX(Schnitt5!N:N,MATCH(L71,Schnitt5!L:L,0))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1583</v>
      </c>
      <c r="N72">
        <f>INDEX(SchnittGes4!N:N,MATCH(L72,SchnittGes4!L:L,0))+INDEX(Schnitt5!N:N,MATCH(L72,Schnitt5!L:L,0))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+Spielzettel6!T2</f>
        <v>6</v>
      </c>
      <c r="F6" s="331"/>
      <c r="P6" s="140" t="s">
        <v>1838</v>
      </c>
      <c r="Q6" s="332" t="str">
        <f>+Spielzettel6!U1</f>
        <v>05.04./06.04.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+Spielzettel6!F2</f>
        <v>Schweinfurt Extreme Bowlingarena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+Spielzettel6!F1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7"/>
      <c r="G31" s="327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6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8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2"/>
      <c r="G37" s="322"/>
      <c r="H37" s="322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6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8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3" t="s">
        <v>1863</v>
      </c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6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8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6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8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6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8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6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8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6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8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6"/>
      <c r="D68" s="317"/>
      <c r="E68" s="317"/>
      <c r="F68" s="317"/>
      <c r="G68" s="317"/>
      <c r="H68" s="317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S68" s="317"/>
      <c r="T68" s="318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P78" s="315"/>
      <c r="Q78" s="315"/>
      <c r="R78" s="315"/>
      <c r="S78" s="315"/>
      <c r="T78" s="315"/>
      <c r="U78" s="31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P81" s="315"/>
      <c r="Q81" s="315"/>
      <c r="R81" s="315"/>
      <c r="S81" s="315"/>
      <c r="T81" s="315"/>
      <c r="U81" s="31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Schlüssel!$DI$1</f>
        <v>05.04./06.04.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Schlüssel!$CY$2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VLOOKUP(B2,Schlüssel!$A$5:$DZ$14,103)</f>
        <v>7</v>
      </c>
      <c r="E22" s="353"/>
      <c r="F22" s="353">
        <f>VLOOKUP(B2,Schlüssel!$A$5:$DZ$14,104)</f>
        <v>8</v>
      </c>
      <c r="G22" s="353"/>
      <c r="H22" s="353">
        <f>VLOOKUP(B2,Schlüssel!$A$5:$DZ$14,105)</f>
        <v>5</v>
      </c>
      <c r="I22" s="353"/>
      <c r="J22" s="353">
        <f>VLOOKUP(B2,Schlüssel!$A$5:$DZ$14,106)</f>
        <v>3</v>
      </c>
      <c r="K22" s="353"/>
      <c r="L22" s="353">
        <f>VLOOKUP(B2,Schlüssel!$A$5:$DZ$14,107)</f>
        <v>4</v>
      </c>
      <c r="M22" s="353"/>
      <c r="N22" s="353">
        <f>VLOOKUP(B2,Schlüssel!$A$5:$DZ$14,108)</f>
        <v>9</v>
      </c>
      <c r="O22" s="353"/>
      <c r="P22" s="353">
        <f>VLOOKUP(B2,Schlüssel!$A$5:$DZ$14,109)</f>
        <v>10</v>
      </c>
      <c r="Q22" s="353"/>
      <c r="R22" s="353">
        <f>VLOOKUP(B2,Schlüssel!$A$5:$DZ$14,110)</f>
        <v>6</v>
      </c>
      <c r="S22" s="353"/>
      <c r="T22" s="353">
        <f>VLOOKUP(B2,Schlüssel!$A$5:$DZ$14,111)</f>
        <v>2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Frankenpower Nürnberg</v>
      </c>
      <c r="E23" s="356"/>
      <c r="F23" s="355" t="str">
        <f>VLOOKUP(F22,Schlüssel!$A$5:$K$14,2)</f>
        <v>EPA München 1</v>
      </c>
      <c r="G23" s="356"/>
      <c r="H23" s="355" t="str">
        <f>VLOOKUP(H22,Schlüssel!$A$5:$K$14,2)</f>
        <v xml:space="preserve">Weiß Blau Unterföhring </v>
      </c>
      <c r="I23" s="356"/>
      <c r="J23" s="355" t="str">
        <f>VLOOKUP(J22,Schlüssel!$A$5:$K$14,2)</f>
        <v>Highroller Rosenheim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RW Lichtenhof 69 Stein 2</v>
      </c>
      <c r="O23" s="356"/>
      <c r="P23" s="355" t="str">
        <f>VLOOKUP(P22,Schlüssel!$A$5:$K$14,2)</f>
        <v>BK München 4</v>
      </c>
      <c r="Q23" s="356"/>
      <c r="R23" s="355" t="str">
        <f>VLOOKUP(R22,Schlüssel!$A$5:$K$14,2)</f>
        <v>Phönix 03 Lauf</v>
      </c>
      <c r="S23" s="356"/>
      <c r="T23" s="355" t="str">
        <f>VLOOKUP(T22,Schlüssel!$A$5:$K$14,2)</f>
        <v>BK München 2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Schlüssel!$DI$1</f>
        <v>05.04./06.04.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Schlüssel!$CY$2</f>
        <v>Schweinfurt Extreme Bowlingarena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VLOOKUP(B31,Schlüssel!$A$5:$DZ$14,103)</f>
        <v>5</v>
      </c>
      <c r="E51" s="353"/>
      <c r="F51" s="353">
        <f>VLOOKUP(B31,Schlüssel!$A$5:$DZ$14,104)</f>
        <v>4</v>
      </c>
      <c r="G51" s="353"/>
      <c r="H51" s="353">
        <f>VLOOKUP(B31,Schlüssel!$A$5:$DZ$14,105)</f>
        <v>8</v>
      </c>
      <c r="I51" s="353"/>
      <c r="J51" s="353">
        <f>VLOOKUP(B31,Schlüssel!$A$5:$DZ$14,106)</f>
        <v>7</v>
      </c>
      <c r="K51" s="353"/>
      <c r="L51" s="353">
        <f>VLOOKUP(B31,Schlüssel!$A$5:$DZ$14,107)</f>
        <v>6</v>
      </c>
      <c r="M51" s="353"/>
      <c r="N51" s="353">
        <f>VLOOKUP(B31,Schlüssel!$A$5:$DZ$14,108)</f>
        <v>10</v>
      </c>
      <c r="O51" s="353"/>
      <c r="P51" s="353">
        <f>VLOOKUP(B31,Schlüssel!$A$5:$DZ$14,109)</f>
        <v>3</v>
      </c>
      <c r="Q51" s="353"/>
      <c r="R51" s="353">
        <f>VLOOKUP(B31,Schlüssel!$A$5:$DZ$14,110)</f>
        <v>9</v>
      </c>
      <c r="S51" s="353"/>
      <c r="T51" s="353">
        <f>VLOOKUP(B31,Schlüssel!$A$5:$DZ$14,111)</f>
        <v>1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 xml:space="preserve">Weiß Blau Unterföhring 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BK München 4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RW Lichtenhof 69 Stein 2</v>
      </c>
      <c r="S52" s="356"/>
      <c r="T52" s="355" t="str">
        <f>VLOOKUP(T51,Schlüssel!$A$5:$K$14,2)</f>
        <v>Praetoria Regensburg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Schlüssel!$DI$1</f>
        <v>05.04./06.04.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Schlüssel!$CY$2</f>
        <v>Schweinfurt Extreme Bowlingarena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VLOOKUP(B60,Schlüssel!$A$5:$DZ$14,103)</f>
        <v>6</v>
      </c>
      <c r="E80" s="353"/>
      <c r="F80" s="353">
        <f>VLOOKUP(B60,Schlüssel!$A$5:$DZ$14,104)</f>
        <v>9</v>
      </c>
      <c r="G80" s="353"/>
      <c r="H80" s="353">
        <f>VLOOKUP(B60,Schlüssel!$A$5:$DZ$14,105)</f>
        <v>10</v>
      </c>
      <c r="I80" s="353"/>
      <c r="J80" s="353">
        <f>VLOOKUP(B60,Schlüssel!$A$5:$DZ$14,106)</f>
        <v>1</v>
      </c>
      <c r="K80" s="353"/>
      <c r="L80" s="353">
        <f>VLOOKUP(B60,Schlüssel!$A$5:$DZ$14,107)</f>
        <v>8</v>
      </c>
      <c r="M80" s="353"/>
      <c r="N80" s="353">
        <f>VLOOKUP(B60,Schlüssel!$A$5:$DZ$14,108)</f>
        <v>5</v>
      </c>
      <c r="O80" s="353"/>
      <c r="P80" s="353">
        <f>VLOOKUP(B60,Schlüssel!$A$5:$DZ$14,109)</f>
        <v>2</v>
      </c>
      <c r="Q80" s="353"/>
      <c r="R80" s="353">
        <f>VLOOKUP(B60,Schlüssel!$A$5:$DZ$14,110)</f>
        <v>7</v>
      </c>
      <c r="S80" s="353"/>
      <c r="T80" s="353">
        <f>VLOOKUP(B60,Schlüssel!$A$5:$DZ$14,111)</f>
        <v>4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Phönix 03 Lauf</v>
      </c>
      <c r="E81" s="356"/>
      <c r="F81" s="355" t="str">
        <f>VLOOKUP(F80,Schlüssel!$A$5:$K$14,2)</f>
        <v>RW Lichtenhof 69 Stein 2</v>
      </c>
      <c r="G81" s="356"/>
      <c r="H81" s="355" t="str">
        <f>VLOOKUP(H80,Schlüssel!$A$5:$K$14,2)</f>
        <v>BK München 4</v>
      </c>
      <c r="I81" s="356"/>
      <c r="J81" s="355" t="str">
        <f>VLOOKUP(J80,Schlüssel!$A$5:$K$14,2)</f>
        <v>Praetoria Regensburg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 xml:space="preserve">Weiß Blau Unterföhring 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Frankenpower Nürnberg</v>
      </c>
      <c r="S81" s="356"/>
      <c r="T81" s="355" t="str">
        <f>VLOOKUP(T80,Schlüssel!$A$5:$K$14,2)</f>
        <v>BK München 3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Schlüssel!$DI$1</f>
        <v>05.04./06.04.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Schlüssel!$CY$2</f>
        <v>Schweinfurt Extreme Bowlingarena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VLOOKUP(B89,Schlüssel!$A$5:$DZ$14,103)</f>
        <v>9</v>
      </c>
      <c r="E109" s="353"/>
      <c r="F109" s="353">
        <f>VLOOKUP(B89,Schlüssel!$A$5:$DZ$14,104)</f>
        <v>2</v>
      </c>
      <c r="G109" s="353"/>
      <c r="H109" s="353">
        <f>VLOOKUP(B89,Schlüssel!$A$5:$DZ$14,105)</f>
        <v>6</v>
      </c>
      <c r="I109" s="353"/>
      <c r="J109" s="353">
        <f>VLOOKUP(B89,Schlüssel!$A$5:$DZ$14,106)</f>
        <v>10</v>
      </c>
      <c r="K109" s="353"/>
      <c r="L109" s="353">
        <f>VLOOKUP(B89,Schlüssel!$A$5:$DZ$14,107)</f>
        <v>1</v>
      </c>
      <c r="M109" s="353"/>
      <c r="N109" s="353">
        <f>VLOOKUP(B89,Schlüssel!$A$5:$DZ$14,108)</f>
        <v>7</v>
      </c>
      <c r="O109" s="353"/>
      <c r="P109" s="353">
        <f>VLOOKUP(B89,Schlüssel!$A$5:$DZ$14,109)</f>
        <v>5</v>
      </c>
      <c r="Q109" s="353"/>
      <c r="R109" s="353">
        <f>VLOOKUP(B89,Schlüssel!$A$5:$DZ$14,110)</f>
        <v>8</v>
      </c>
      <c r="S109" s="353"/>
      <c r="T109" s="353">
        <f>VLOOKUP(B89,Schlüssel!$A$5:$DZ$14,111)</f>
        <v>3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RW Lichtenhof 69 Stein 2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Phönix 03 Lauf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 xml:space="preserve">Weiß Blau Unterföhring </v>
      </c>
      <c r="Q110" s="356"/>
      <c r="R110" s="355" t="str">
        <f>VLOOKUP(R109,Schlüssel!$A$5:$K$14,2)</f>
        <v>EPA München 1</v>
      </c>
      <c r="S110" s="356"/>
      <c r="T110" s="355" t="str">
        <f>VLOOKUP(T109,Schlüssel!$A$5:$K$14,2)</f>
        <v>Highroller Rosenheim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Schlüssel!$DI$1</f>
        <v>05.04./06.04.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Schlüssel!$CY$2</f>
        <v>Schweinfurt Extreme Bowlingarena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VLOOKUP(B118,Schlüssel!$A$5:$DZ$14,103)</f>
        <v>2</v>
      </c>
      <c r="E138" s="353"/>
      <c r="F138" s="353">
        <f>VLOOKUP(B118,Schlüssel!$A$5:$DZ$14,104)</f>
        <v>7</v>
      </c>
      <c r="G138" s="353"/>
      <c r="H138" s="353">
        <f>VLOOKUP(B118,Schlüssel!$A$5:$DZ$14,105)</f>
        <v>1</v>
      </c>
      <c r="I138" s="353"/>
      <c r="J138" s="353">
        <f>VLOOKUP(B118,Schlüssel!$A$5:$DZ$14,106)</f>
        <v>8</v>
      </c>
      <c r="K138" s="353"/>
      <c r="L138" s="353">
        <f>VLOOKUP(B118,Schlüssel!$A$5:$DZ$14,107)</f>
        <v>9</v>
      </c>
      <c r="M138" s="353"/>
      <c r="N138" s="353">
        <f>VLOOKUP(B118,Schlüssel!$A$5:$DZ$14,108)</f>
        <v>3</v>
      </c>
      <c r="O138" s="353"/>
      <c r="P138" s="353">
        <f>VLOOKUP(B118,Schlüssel!$A$5:$DZ$14,109)</f>
        <v>4</v>
      </c>
      <c r="Q138" s="353"/>
      <c r="R138" s="353">
        <f>VLOOKUP(B118,Schlüssel!$A$5:$DZ$14,110)</f>
        <v>10</v>
      </c>
      <c r="S138" s="353"/>
      <c r="T138" s="353">
        <f>VLOOKUP(B118,Schlüssel!$A$5:$DZ$14,111)</f>
        <v>6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2</v>
      </c>
      <c r="E139" s="356"/>
      <c r="F139" s="355" t="str">
        <f>VLOOKUP(F138,Schlüssel!$A$5:$K$14,2)</f>
        <v>Frankenpower Nürnberg</v>
      </c>
      <c r="G139" s="356"/>
      <c r="H139" s="355" t="str">
        <f>VLOOKUP(H138,Schlüssel!$A$5:$K$14,2)</f>
        <v>Praetoria Regensburg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Highroller Rosenheim</v>
      </c>
      <c r="O139" s="356"/>
      <c r="P139" s="355" t="str">
        <f>VLOOKUP(P138,Schlüssel!$A$5:$K$14,2)</f>
        <v>BK München 3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Phönix 03 Lauf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Schlüssel!$DI$1</f>
        <v>05.04./06.04.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Schlüssel!$CY$2</f>
        <v>Schweinfurt Extreme Bowlingarena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VLOOKUP(B147,Schlüssel!$A$5:$DZ$14,103)</f>
        <v>3</v>
      </c>
      <c r="E167" s="353"/>
      <c r="F167" s="353">
        <f>VLOOKUP(B147,Schlüssel!$A$5:$DZ$14,104)</f>
        <v>10</v>
      </c>
      <c r="G167" s="353"/>
      <c r="H167" s="353">
        <f>VLOOKUP(B147,Schlüssel!$A$5:$DZ$14,105)</f>
        <v>4</v>
      </c>
      <c r="I167" s="353"/>
      <c r="J167" s="353">
        <f>VLOOKUP(B147,Schlüssel!$A$5:$DZ$14,106)</f>
        <v>9</v>
      </c>
      <c r="K167" s="353"/>
      <c r="L167" s="353">
        <f>VLOOKUP(B147,Schlüssel!$A$5:$DZ$14,107)</f>
        <v>2</v>
      </c>
      <c r="M167" s="353"/>
      <c r="N167" s="353">
        <f>VLOOKUP(B147,Schlüssel!$A$5:$DZ$14,108)</f>
        <v>8</v>
      </c>
      <c r="O167" s="353"/>
      <c r="P167" s="353">
        <f>VLOOKUP(B147,Schlüssel!$A$5:$DZ$14,109)</f>
        <v>7</v>
      </c>
      <c r="Q167" s="353"/>
      <c r="R167" s="353">
        <f>VLOOKUP(B147,Schlüssel!$A$5:$DZ$14,110)</f>
        <v>1</v>
      </c>
      <c r="S167" s="353"/>
      <c r="T167" s="353">
        <f>VLOOKUP(B147,Schlüssel!$A$5:$DZ$14,111)</f>
        <v>5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Highroller Rosenheim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BK München 3</v>
      </c>
      <c r="I168" s="356"/>
      <c r="J168" s="355" t="str">
        <f>VLOOKUP(J167,Schlüssel!$A$5:$K$14,2)</f>
        <v>RW Lichtenhof 69 Stein 2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Frankenpower Nürnberg</v>
      </c>
      <c r="Q168" s="356"/>
      <c r="R168" s="355" t="str">
        <f>VLOOKUP(R167,Schlüssel!$A$5:$K$14,2)</f>
        <v>Praetoria Regensburg</v>
      </c>
      <c r="S168" s="356"/>
      <c r="T168" s="355" t="str">
        <f>VLOOKUP(T167,Schlüssel!$A$5:$K$14,2)</f>
        <v xml:space="preserve">Weiß Blau Unterföhring 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Schlüssel!$DI$1</f>
        <v>05.04./06.04.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Schlüssel!$CY$2</f>
        <v>Schweinfurt Extreme Bowlingarena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VLOOKUP(B176,Schlüssel!$A$5:$DZ$14,103)</f>
        <v>1</v>
      </c>
      <c r="E196" s="353"/>
      <c r="F196" s="353">
        <f>VLOOKUP(B176,Schlüssel!$A$5:$DZ$14,104)</f>
        <v>5</v>
      </c>
      <c r="G196" s="353"/>
      <c r="H196" s="353">
        <f>VLOOKUP(B176,Schlüssel!$A$5:$DZ$14,105)</f>
        <v>9</v>
      </c>
      <c r="I196" s="353"/>
      <c r="J196" s="353">
        <f>VLOOKUP(B176,Schlüssel!$A$5:$DZ$14,106)</f>
        <v>2</v>
      </c>
      <c r="K196" s="353"/>
      <c r="L196" s="353">
        <f>VLOOKUP(B176,Schlüssel!$A$5:$DZ$14,107)</f>
        <v>10</v>
      </c>
      <c r="M196" s="353"/>
      <c r="N196" s="353">
        <f>VLOOKUP(B176,Schlüssel!$A$5:$DZ$14,108)</f>
        <v>4</v>
      </c>
      <c r="O196" s="353"/>
      <c r="P196" s="353">
        <f>VLOOKUP(B176,Schlüssel!$A$5:$DZ$14,109)</f>
        <v>6</v>
      </c>
      <c r="Q196" s="353"/>
      <c r="R196" s="353">
        <f>VLOOKUP(B176,Schlüssel!$A$5:$DZ$14,110)</f>
        <v>3</v>
      </c>
      <c r="S196" s="353"/>
      <c r="T196" s="353">
        <f>VLOOKUP(B176,Schlüssel!$A$5:$DZ$14,111)</f>
        <v>8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Praetoria Regensburg</v>
      </c>
      <c r="E197" s="356"/>
      <c r="F197" s="355" t="str">
        <f>VLOOKUP(F196,Schlüssel!$A$5:$K$14,2)</f>
        <v xml:space="preserve">Weiß Blau Unterföhring 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Phönix 03 Lauf</v>
      </c>
      <c r="Q197" s="356"/>
      <c r="R197" s="355" t="str">
        <f>VLOOKUP(R196,Schlüssel!$A$5:$K$14,2)</f>
        <v>Highroller Rosenheim</v>
      </c>
      <c r="S197" s="356"/>
      <c r="T197" s="355" t="str">
        <f>VLOOKUP(T196,Schlüssel!$A$5:$K$14,2)</f>
        <v>EPA München 1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Schlüssel!$DI$1</f>
        <v>05.04./06.04.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Schlüssel!$CY$2</f>
        <v>Schweinfurt Extreme Bowlingarena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VLOOKUP(B205,Schlüssel!$A$5:$DZ$14,103)</f>
        <v>10</v>
      </c>
      <c r="E225" s="353"/>
      <c r="F225" s="353">
        <f>VLOOKUP(B205,Schlüssel!$A$5:$DZ$14,104)</f>
        <v>1</v>
      </c>
      <c r="G225" s="353"/>
      <c r="H225" s="353">
        <f>VLOOKUP(B205,Schlüssel!$A$5:$DZ$14,105)</f>
        <v>2</v>
      </c>
      <c r="I225" s="353"/>
      <c r="J225" s="353">
        <f>VLOOKUP(B205,Schlüssel!$A$5:$DZ$14,106)</f>
        <v>5</v>
      </c>
      <c r="K225" s="353"/>
      <c r="L225" s="353">
        <f>VLOOKUP(B205,Schlüssel!$A$5:$DZ$14,107)</f>
        <v>3</v>
      </c>
      <c r="M225" s="353"/>
      <c r="N225" s="353">
        <f>VLOOKUP(B205,Schlüssel!$A$5:$DZ$14,108)</f>
        <v>6</v>
      </c>
      <c r="O225" s="353"/>
      <c r="P225" s="353">
        <f>VLOOKUP(B205,Schlüssel!$A$5:$DZ$14,109)</f>
        <v>9</v>
      </c>
      <c r="Q225" s="353"/>
      <c r="R225" s="353">
        <f>VLOOKUP(B205,Schlüssel!$A$5:$DZ$14,110)</f>
        <v>4</v>
      </c>
      <c r="S225" s="353"/>
      <c r="T225" s="353">
        <f>VLOOKUP(B205,Schlüssel!$A$5:$DZ$14,111)</f>
        <v>7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>Praetoria Regensburg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RW Lichtenhof 69 Stein 2</v>
      </c>
      <c r="Q226" s="356"/>
      <c r="R226" s="355" t="str">
        <f>VLOOKUP(R225,Schlüssel!$A$5:$K$14,2)</f>
        <v>BK München 3</v>
      </c>
      <c r="S226" s="356"/>
      <c r="T226" s="355" t="str">
        <f>VLOOKUP(T225,Schlüssel!$A$5:$K$14,2)</f>
        <v>Frankenpower Nürnberg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Schlüssel!$DI$1</f>
        <v>05.04./06.04.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Schlüssel!$CY$2</f>
        <v>Schweinfurt Extreme Bowlingarena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VLOOKUP(B234,Schlüssel!$A$5:$DZ$14,103)</f>
        <v>4</v>
      </c>
      <c r="E254" s="353"/>
      <c r="F254" s="353">
        <f>VLOOKUP(B234,Schlüssel!$A$5:$DZ$14,104)</f>
        <v>3</v>
      </c>
      <c r="G254" s="353"/>
      <c r="H254" s="353">
        <f>VLOOKUP(B234,Schlüssel!$A$5:$DZ$14,105)</f>
        <v>7</v>
      </c>
      <c r="I254" s="353"/>
      <c r="J254" s="353">
        <f>VLOOKUP(B234,Schlüssel!$A$5:$DZ$14,106)</f>
        <v>6</v>
      </c>
      <c r="K254" s="353"/>
      <c r="L254" s="353">
        <f>VLOOKUP(B234,Schlüssel!$A$5:$DZ$14,107)</f>
        <v>5</v>
      </c>
      <c r="M254" s="353"/>
      <c r="N254" s="353">
        <f>VLOOKUP(B234,Schlüssel!$A$5:$DZ$14,108)</f>
        <v>1</v>
      </c>
      <c r="O254" s="353"/>
      <c r="P254" s="353">
        <f>VLOOKUP(B234,Schlüssel!$A$5:$DZ$14,109)</f>
        <v>8</v>
      </c>
      <c r="Q254" s="353"/>
      <c r="R254" s="353">
        <f>VLOOKUP(B234,Schlüssel!$A$5:$DZ$14,110)</f>
        <v>2</v>
      </c>
      <c r="S254" s="353"/>
      <c r="T254" s="353">
        <f>VLOOKUP(B234,Schlüssel!$A$5:$DZ$14,111)</f>
        <v>10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3</v>
      </c>
      <c r="E255" s="356"/>
      <c r="F255" s="355" t="str">
        <f>VLOOKUP(F254,Schlüssel!$A$5:$K$14,2)</f>
        <v>Highroller Rosenheim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Phönix 03 Lauf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Praetoria Regensburg</v>
      </c>
      <c r="O255" s="356"/>
      <c r="P255" s="355" t="str">
        <f>VLOOKUP(P254,Schlüssel!$A$5:$K$14,2)</f>
        <v>EPA München 1</v>
      </c>
      <c r="Q255" s="356"/>
      <c r="R255" s="355" t="str">
        <f>VLOOKUP(R254,Schlüssel!$A$5:$K$14,2)</f>
        <v>BK München 2</v>
      </c>
      <c r="S255" s="356"/>
      <c r="T255" s="355" t="str">
        <f>VLOOKUP(T254,Schlüssel!$A$5:$K$14,2)</f>
        <v>BK München 4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Schlüssel!$DI$1</f>
        <v>05.04./06.04.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Schlüssel!$CY$2</f>
        <v>Schweinfurt Extreme Bowlingarena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VLOOKUP(B263,Schlüssel!$A$5:$DZ$14,103)</f>
        <v>8</v>
      </c>
      <c r="E283" s="353"/>
      <c r="F283" s="353">
        <f>VLOOKUP(B263,Schlüssel!$A$5:$DZ$14,104)</f>
        <v>6</v>
      </c>
      <c r="G283" s="353"/>
      <c r="H283" s="353">
        <f>VLOOKUP(B263,Schlüssel!$A$5:$DZ$14,105)</f>
        <v>3</v>
      </c>
      <c r="I283" s="353"/>
      <c r="J283" s="353">
        <f>VLOOKUP(B263,Schlüssel!$A$5:$DZ$14,106)</f>
        <v>4</v>
      </c>
      <c r="K283" s="353"/>
      <c r="L283" s="353">
        <f>VLOOKUP(B263,Schlüssel!$A$5:$DZ$14,107)</f>
        <v>7</v>
      </c>
      <c r="M283" s="353"/>
      <c r="N283" s="353">
        <f>VLOOKUP(B263,Schlüssel!$A$5:$DZ$14,108)</f>
        <v>2</v>
      </c>
      <c r="O283" s="353"/>
      <c r="P283" s="353">
        <f>VLOOKUP(B263,Schlüssel!$A$5:$DZ$14,109)</f>
        <v>1</v>
      </c>
      <c r="Q283" s="353"/>
      <c r="R283" s="353">
        <f>VLOOKUP(B263,Schlüssel!$A$5:$DZ$14,110)</f>
        <v>5</v>
      </c>
      <c r="S283" s="353"/>
      <c r="T283" s="353">
        <f>VLOOKUP(B263,Schlüssel!$A$5:$DZ$14,111)</f>
        <v>9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Highroller Rosenheim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2</v>
      </c>
      <c r="O284" s="356"/>
      <c r="P284" s="355" t="str">
        <f>VLOOKUP(P283,Schlüssel!$A$5:$K$14,2)</f>
        <v>Praetoria Regensburg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RW Lichtenhof 69 Stein 2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1" t="s">
        <v>1871</v>
      </c>
      <c r="B3" s="311"/>
      <c r="C3" s="312" t="s">
        <v>2547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3.8" x14ac:dyDescent="0.25">
      <c r="A4" s="311" t="s">
        <v>2024</v>
      </c>
      <c r="B4" s="311"/>
      <c r="C4" s="312" t="s">
        <v>2548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05.04./06.04.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05.04./06.04.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7</v>
      </c>
      <c r="E22" s="353" t="str">
        <f t="shared" si="31"/>
        <v/>
      </c>
      <c r="F22" s="353">
        <f t="shared" si="31"/>
        <v>8</v>
      </c>
      <c r="G22" s="353" t="str">
        <f t="shared" si="31"/>
        <v/>
      </c>
      <c r="H22" s="353">
        <f t="shared" si="31"/>
        <v>5</v>
      </c>
      <c r="I22" s="353" t="str">
        <f t="shared" si="31"/>
        <v/>
      </c>
      <c r="J22" s="353">
        <f t="shared" si="31"/>
        <v>3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9</v>
      </c>
      <c r="O22" s="353" t="str">
        <f t="shared" si="32"/>
        <v/>
      </c>
      <c r="P22" s="353">
        <f t="shared" si="32"/>
        <v>10</v>
      </c>
      <c r="Q22" s="353" t="str">
        <f t="shared" si="32"/>
        <v/>
      </c>
      <c r="R22" s="353">
        <f t="shared" si="32"/>
        <v>6</v>
      </c>
      <c r="S22" s="353" t="str">
        <f t="shared" si="32"/>
        <v/>
      </c>
      <c r="T22" s="353">
        <f t="shared" si="32"/>
        <v>2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VLOOKUP($AA2,Schlüssel!$A$5:$DG$14,103)</f>
        <v>7</v>
      </c>
      <c r="AD22" s="368"/>
      <c r="AE22" s="367">
        <f>VLOOKUP($AA2,Schlüssel!$A$5:$EK$14,104)</f>
        <v>8</v>
      </c>
      <c r="AF22" s="368"/>
      <c r="AG22" s="367">
        <f>VLOOKUP($AA2,Schlüssel!$A$5:$EK$14,105)</f>
        <v>5</v>
      </c>
      <c r="AH22" s="368"/>
      <c r="AI22" s="367">
        <f>VLOOKUP($AA2,Schlüssel!$A$5:$EK$14,106)</f>
        <v>3</v>
      </c>
      <c r="AJ22" s="368"/>
      <c r="AK22" s="367">
        <f>VLOOKUP($AA2,Schlüssel!$A$5:$EK$14,107)</f>
        <v>4</v>
      </c>
      <c r="AL22" s="368"/>
      <c r="AM22" s="367">
        <f>VLOOKUP($AA2,Schlüssel!$A$5:$EK$14,108)</f>
        <v>9</v>
      </c>
      <c r="AN22" s="368"/>
      <c r="AO22" s="367">
        <f>VLOOKUP($AA2,Schlüssel!$A$5:$EK$14,109)</f>
        <v>10</v>
      </c>
      <c r="AP22" s="368"/>
      <c r="AQ22" s="367">
        <f>VLOOKUP($AA2,Schlüssel!$A$5:$EK$14,110)</f>
        <v>6</v>
      </c>
      <c r="AR22" s="368"/>
      <c r="AS22" s="367">
        <f>VLOOKUP($AA2,Schlüssel!$A$5:$EK$14,111)</f>
        <v>2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Frankenpower Nürnberg</v>
      </c>
      <c r="E23" s="356" t="str">
        <f t="shared" si="31"/>
        <v/>
      </c>
      <c r="F23" s="355" t="str">
        <f t="shared" si="31"/>
        <v>EPA München 1</v>
      </c>
      <c r="G23" s="356" t="str">
        <f t="shared" si="31"/>
        <v/>
      </c>
      <c r="H23" s="355" t="str">
        <f t="shared" si="31"/>
        <v xml:space="preserve">Weiß Blau Unterföhring </v>
      </c>
      <c r="I23" s="356" t="str">
        <f t="shared" si="31"/>
        <v/>
      </c>
      <c r="J23" s="355" t="str">
        <f t="shared" si="31"/>
        <v>Highroller Rosenheim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RW Lichtenhof 69 Stein 2</v>
      </c>
      <c r="O23" s="356" t="str">
        <f t="shared" si="32"/>
        <v/>
      </c>
      <c r="P23" s="355" t="str">
        <f t="shared" si="32"/>
        <v>BK München 4</v>
      </c>
      <c r="Q23" s="356" t="str">
        <f t="shared" si="32"/>
        <v/>
      </c>
      <c r="R23" s="355" t="str">
        <f t="shared" si="32"/>
        <v>Phönix 03 Lauf</v>
      </c>
      <c r="S23" s="356" t="str">
        <f t="shared" si="32"/>
        <v/>
      </c>
      <c r="T23" s="355" t="str">
        <f t="shared" si="32"/>
        <v>BK München 2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Frankenpower Nürnberg</v>
      </c>
      <c r="AD23" s="356"/>
      <c r="AE23" s="355" t="str">
        <f>VLOOKUP(AE22,Schlüssel!$A$5:$K$14,2)</f>
        <v>EPA München 1</v>
      </c>
      <c r="AF23" s="356"/>
      <c r="AG23" s="355" t="str">
        <f>VLOOKUP(AG22,Schlüssel!$A$5:$K$14,2)</f>
        <v xml:space="preserve">Weiß Blau Unterföhring </v>
      </c>
      <c r="AH23" s="356"/>
      <c r="AI23" s="355" t="str">
        <f>VLOOKUP(AI22,Schlüssel!$A$5:$K$14,2)</f>
        <v>Highroller Rosenheim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RW Lichtenhof 69 Stein 2</v>
      </c>
      <c r="AN23" s="356"/>
      <c r="AO23" s="355" t="str">
        <f>VLOOKUP(AO22,Schlüssel!$A$5:$K$14,2)</f>
        <v>BK München 4</v>
      </c>
      <c r="AP23" s="356"/>
      <c r="AQ23" s="355" t="str">
        <f>VLOOKUP(AQ22,Schlüssel!$A$5:$K$14,2)</f>
        <v>Phönix 03 Lauf</v>
      </c>
      <c r="AR23" s="356"/>
      <c r="AS23" s="355" t="str">
        <f>VLOOKUP(AS22,Schlüssel!$A$5:$K$14,2)</f>
        <v>BK München 2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05.04./06.04.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05.04./06.04.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Schweinfurt Extreme Bowlingarena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5</v>
      </c>
      <c r="E52" s="353" t="str">
        <f t="shared" si="65"/>
        <v/>
      </c>
      <c r="F52" s="353">
        <f t="shared" si="65"/>
        <v>4</v>
      </c>
      <c r="G52" s="353" t="str">
        <f t="shared" si="65"/>
        <v/>
      </c>
      <c r="H52" s="353">
        <f t="shared" si="65"/>
        <v>8</v>
      </c>
      <c r="I52" s="353" t="str">
        <f t="shared" si="65"/>
        <v/>
      </c>
      <c r="J52" s="353">
        <f t="shared" si="65"/>
        <v>7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10</v>
      </c>
      <c r="O52" s="353" t="str">
        <f t="shared" si="65"/>
        <v/>
      </c>
      <c r="P52" s="353">
        <f t="shared" si="65"/>
        <v>3</v>
      </c>
      <c r="Q52" s="353" t="str">
        <f t="shared" si="65"/>
        <v/>
      </c>
      <c r="R52" s="353">
        <f t="shared" ref="L52:U54" si="66">IF(AQ52=0,"",AQ52)</f>
        <v>9</v>
      </c>
      <c r="S52" s="353" t="str">
        <f t="shared" si="66"/>
        <v/>
      </c>
      <c r="T52" s="353">
        <f t="shared" si="66"/>
        <v>1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VLOOKUP($AA32,Schlüssel!$A$5:$DG$14,103)</f>
        <v>5</v>
      </c>
      <c r="AD52" s="368"/>
      <c r="AE52" s="367">
        <f>VLOOKUP($AA32,Schlüssel!$A$5:$EK$14,104)</f>
        <v>4</v>
      </c>
      <c r="AF52" s="368"/>
      <c r="AG52" s="367">
        <f>VLOOKUP($AA32,Schlüssel!$A$5:$EK$14,105)</f>
        <v>8</v>
      </c>
      <c r="AH52" s="368"/>
      <c r="AI52" s="367">
        <f>VLOOKUP($AA32,Schlüssel!$A$5:$EK$14,106)</f>
        <v>7</v>
      </c>
      <c r="AJ52" s="368"/>
      <c r="AK52" s="367">
        <f>VLOOKUP($AA32,Schlüssel!$A$5:$EK$14,107)</f>
        <v>6</v>
      </c>
      <c r="AL52" s="368"/>
      <c r="AM52" s="367">
        <f>VLOOKUP($AA32,Schlüssel!$A$5:$EK$14,108)</f>
        <v>10</v>
      </c>
      <c r="AN52" s="368"/>
      <c r="AO52" s="367">
        <f>VLOOKUP($AA32,Schlüssel!$A$5:$EK$14,109)</f>
        <v>3</v>
      </c>
      <c r="AP52" s="368"/>
      <c r="AQ52" s="367">
        <f>VLOOKUP($AA32,Schlüssel!$A$5:$EK$14,110)</f>
        <v>9</v>
      </c>
      <c r="AR52" s="368"/>
      <c r="AS52" s="367">
        <f>VLOOKUP($AA32,Schlüssel!$A$5:$EK$14,111)</f>
        <v>1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 xml:space="preserve">Weiß Blau Unterföhring </v>
      </c>
      <c r="E53" s="356" t="str">
        <f t="shared" si="67"/>
        <v/>
      </c>
      <c r="F53" s="355" t="str">
        <f t="shared" si="67"/>
        <v>BK München 3</v>
      </c>
      <c r="G53" s="356" t="str">
        <f t="shared" si="67"/>
        <v/>
      </c>
      <c r="H53" s="355" t="str">
        <f t="shared" si="67"/>
        <v>EPA München 1</v>
      </c>
      <c r="I53" s="356" t="str">
        <f t="shared" si="67"/>
        <v/>
      </c>
      <c r="J53" s="355" t="str">
        <f t="shared" si="67"/>
        <v>Frankenpower Nürnberg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BK München 4</v>
      </c>
      <c r="O53" s="356" t="str">
        <f t="shared" si="66"/>
        <v/>
      </c>
      <c r="P53" s="355" t="str">
        <f t="shared" si="66"/>
        <v>Highroller Rosenheim</v>
      </c>
      <c r="Q53" s="356" t="str">
        <f t="shared" si="66"/>
        <v/>
      </c>
      <c r="R53" s="355" t="str">
        <f t="shared" si="66"/>
        <v>RW Lichtenhof 69 Stein 2</v>
      </c>
      <c r="S53" s="356" t="str">
        <f t="shared" si="66"/>
        <v/>
      </c>
      <c r="T53" s="355" t="str">
        <f t="shared" si="66"/>
        <v>Praetoria Regensburg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 xml:space="preserve">Weiß Blau Unterföhring 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BK München 4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RW Lichtenhof 69 Stein 2</v>
      </c>
      <c r="AR53" s="356"/>
      <c r="AS53" s="355" t="str">
        <f>VLOOKUP(AS52,Schlüssel!$A$5:$K$14,2)</f>
        <v>Praetoria Regensburg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05.04./06.04.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05.04./06.04.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Schweinfurt Extreme Bowlingarena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6</v>
      </c>
      <c r="E82" s="353" t="str">
        <f t="shared" si="100"/>
        <v/>
      </c>
      <c r="F82" s="353">
        <f t="shared" si="100"/>
        <v>9</v>
      </c>
      <c r="G82" s="353" t="str">
        <f t="shared" si="100"/>
        <v/>
      </c>
      <c r="H82" s="353">
        <f t="shared" si="100"/>
        <v>10</v>
      </c>
      <c r="I82" s="353" t="str">
        <f t="shared" si="100"/>
        <v/>
      </c>
      <c r="J82" s="353">
        <f t="shared" si="100"/>
        <v>1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5</v>
      </c>
      <c r="O82" s="353" t="str">
        <f t="shared" si="100"/>
        <v/>
      </c>
      <c r="P82" s="353">
        <f t="shared" si="100"/>
        <v>2</v>
      </c>
      <c r="Q82" s="353" t="str">
        <f t="shared" si="100"/>
        <v/>
      </c>
      <c r="R82" s="353">
        <f t="shared" ref="L82:U84" si="101">IF(AQ82=0,"",AQ82)</f>
        <v>7</v>
      </c>
      <c r="S82" s="353" t="str">
        <f t="shared" si="101"/>
        <v/>
      </c>
      <c r="T82" s="353">
        <f t="shared" si="101"/>
        <v>4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VLOOKUP($AA62,Schlüssel!$A$5:$DG$14,103)</f>
        <v>6</v>
      </c>
      <c r="AD82" s="368"/>
      <c r="AE82" s="367">
        <f>VLOOKUP($AA62,Schlüssel!$A$5:$EK$14,104)</f>
        <v>9</v>
      </c>
      <c r="AF82" s="368"/>
      <c r="AG82" s="367">
        <f>VLOOKUP($AA62,Schlüssel!$A$5:$EK$14,105)</f>
        <v>10</v>
      </c>
      <c r="AH82" s="368"/>
      <c r="AI82" s="367">
        <f>VLOOKUP($AA62,Schlüssel!$A$5:$EK$14,106)</f>
        <v>1</v>
      </c>
      <c r="AJ82" s="368"/>
      <c r="AK82" s="367">
        <f>VLOOKUP($AA62,Schlüssel!$A$5:$EK$14,107)</f>
        <v>8</v>
      </c>
      <c r="AL82" s="368"/>
      <c r="AM82" s="367">
        <f>VLOOKUP($AA62,Schlüssel!$A$5:$EK$14,108)</f>
        <v>5</v>
      </c>
      <c r="AN82" s="368"/>
      <c r="AO82" s="367">
        <f>VLOOKUP($AA62,Schlüssel!$A$5:$EK$14,109)</f>
        <v>2</v>
      </c>
      <c r="AP82" s="368"/>
      <c r="AQ82" s="367">
        <f>VLOOKUP($AA62,Schlüssel!$A$5:$EK$14,110)</f>
        <v>7</v>
      </c>
      <c r="AR82" s="368"/>
      <c r="AS82" s="367">
        <f>VLOOKUP($AA62,Schlüssel!$A$5:$EK$14,111)</f>
        <v>4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Phönix 03 Lauf</v>
      </c>
      <c r="E83" s="356" t="str">
        <f t="shared" si="102"/>
        <v/>
      </c>
      <c r="F83" s="355" t="str">
        <f t="shared" si="102"/>
        <v>RW Lichtenhof 69 Stein 2</v>
      </c>
      <c r="G83" s="356" t="str">
        <f t="shared" si="102"/>
        <v/>
      </c>
      <c r="H83" s="355" t="str">
        <f t="shared" si="102"/>
        <v>BK München 4</v>
      </c>
      <c r="I83" s="356" t="str">
        <f t="shared" si="102"/>
        <v/>
      </c>
      <c r="J83" s="355" t="str">
        <f t="shared" si="102"/>
        <v>Praetoria Regensburg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 xml:space="preserve">Weiß Blau Unterföhring 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Frankenpower Nürnberg</v>
      </c>
      <c r="S83" s="356" t="str">
        <f t="shared" si="101"/>
        <v/>
      </c>
      <c r="T83" s="355" t="str">
        <f t="shared" si="101"/>
        <v>BK München 3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Phönix 03 Lauf</v>
      </c>
      <c r="AD83" s="356"/>
      <c r="AE83" s="355" t="str">
        <f>VLOOKUP(AE82,Schlüssel!$A$5:$K$14,2)</f>
        <v>RW Lichtenhof 69 Stein 2</v>
      </c>
      <c r="AF83" s="356"/>
      <c r="AG83" s="355" t="str">
        <f>VLOOKUP(AG82,Schlüssel!$A$5:$K$14,2)</f>
        <v>BK München 4</v>
      </c>
      <c r="AH83" s="356"/>
      <c r="AI83" s="355" t="str">
        <f>VLOOKUP(AI82,Schlüssel!$A$5:$K$14,2)</f>
        <v>Praetoria Regensburg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 xml:space="preserve">Weiß Blau Unterföhring 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Frankenpower Nürnberg</v>
      </c>
      <c r="AR83" s="356"/>
      <c r="AS83" s="355" t="str">
        <f>VLOOKUP(AS82,Schlüssel!$A$5:$K$14,2)</f>
        <v>BK München 3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05.04./06.04.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05.04./06.04.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Schweinfurt Extreme Bowlingarena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9</v>
      </c>
      <c r="E112" s="353" t="str">
        <f t="shared" si="135"/>
        <v/>
      </c>
      <c r="F112" s="353">
        <f t="shared" si="135"/>
        <v>2</v>
      </c>
      <c r="G112" s="353" t="str">
        <f t="shared" si="135"/>
        <v/>
      </c>
      <c r="H112" s="353">
        <f t="shared" si="135"/>
        <v>6</v>
      </c>
      <c r="I112" s="353" t="str">
        <f t="shared" si="135"/>
        <v/>
      </c>
      <c r="J112" s="353">
        <f t="shared" si="135"/>
        <v>10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5</v>
      </c>
      <c r="Q112" s="353" t="str">
        <f t="shared" si="135"/>
        <v/>
      </c>
      <c r="R112" s="353">
        <f t="shared" ref="L112:U114" si="136">IF(AQ112=0,"",AQ112)</f>
        <v>8</v>
      </c>
      <c r="S112" s="353" t="str">
        <f t="shared" si="136"/>
        <v/>
      </c>
      <c r="T112" s="353">
        <f t="shared" si="136"/>
        <v>3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VLOOKUP($AA92,Schlüssel!$A$5:$DG$14,103)</f>
        <v>9</v>
      </c>
      <c r="AD112" s="368"/>
      <c r="AE112" s="367">
        <f>VLOOKUP($AA92,Schlüssel!$A$5:$EK$14,104)</f>
        <v>2</v>
      </c>
      <c r="AF112" s="368"/>
      <c r="AG112" s="367">
        <f>VLOOKUP($AA92,Schlüssel!$A$5:$EK$14,105)</f>
        <v>6</v>
      </c>
      <c r="AH112" s="368"/>
      <c r="AI112" s="367">
        <f>VLOOKUP($AA92,Schlüssel!$A$5:$EK$14,106)</f>
        <v>10</v>
      </c>
      <c r="AJ112" s="368"/>
      <c r="AK112" s="367">
        <f>VLOOKUP($AA92,Schlüssel!$A$5:$EK$14,107)</f>
        <v>1</v>
      </c>
      <c r="AL112" s="368"/>
      <c r="AM112" s="367">
        <f>VLOOKUP($AA92,Schlüssel!$A$5:$EK$14,108)</f>
        <v>7</v>
      </c>
      <c r="AN112" s="368"/>
      <c r="AO112" s="367">
        <f>VLOOKUP($AA92,Schlüssel!$A$5:$EK$14,109)</f>
        <v>5</v>
      </c>
      <c r="AP112" s="368"/>
      <c r="AQ112" s="367">
        <f>VLOOKUP($AA92,Schlüssel!$A$5:$EK$14,110)</f>
        <v>8</v>
      </c>
      <c r="AR112" s="368"/>
      <c r="AS112" s="367">
        <f>VLOOKUP($AA92,Schlüssel!$A$5:$EK$14,111)</f>
        <v>3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RW Lichtenhof 69 Stein 2</v>
      </c>
      <c r="E113" s="356" t="str">
        <f t="shared" si="137"/>
        <v/>
      </c>
      <c r="F113" s="355" t="str">
        <f t="shared" si="137"/>
        <v>BK München 2</v>
      </c>
      <c r="G113" s="356" t="str">
        <f t="shared" si="137"/>
        <v/>
      </c>
      <c r="H113" s="355" t="str">
        <f t="shared" si="137"/>
        <v>Phönix 03 Lauf</v>
      </c>
      <c r="I113" s="356" t="str">
        <f t="shared" si="137"/>
        <v/>
      </c>
      <c r="J113" s="355" t="str">
        <f t="shared" si="137"/>
        <v>BK München 4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Frankenpower Nürnberg</v>
      </c>
      <c r="O113" s="356" t="str">
        <f t="shared" si="136"/>
        <v/>
      </c>
      <c r="P113" s="355" t="str">
        <f t="shared" si="136"/>
        <v xml:space="preserve">Weiß Blau Unterföhring </v>
      </c>
      <c r="Q113" s="356" t="str">
        <f t="shared" si="136"/>
        <v/>
      </c>
      <c r="R113" s="355" t="str">
        <f t="shared" si="136"/>
        <v>EPA München 1</v>
      </c>
      <c r="S113" s="356" t="str">
        <f t="shared" si="136"/>
        <v/>
      </c>
      <c r="T113" s="355" t="str">
        <f t="shared" si="136"/>
        <v>Highroller Rosenheim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RW Lichtenhof 69 Stein 2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Phönix 03 Lauf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 xml:space="preserve">Weiß Blau Unterföhring </v>
      </c>
      <c r="AP113" s="356"/>
      <c r="AQ113" s="355" t="str">
        <f>VLOOKUP(AQ112,Schlüssel!$A$5:$K$14,2)</f>
        <v>EPA München 1</v>
      </c>
      <c r="AR113" s="356"/>
      <c r="AS113" s="355" t="str">
        <f>VLOOKUP(AS112,Schlüssel!$A$5:$K$14,2)</f>
        <v>Highroller Rosenheim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05.04./06.04.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05.04./06.04.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Schweinfurt Extreme Bowlingarena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2</v>
      </c>
      <c r="E142" s="353" t="str">
        <f t="shared" si="170"/>
        <v/>
      </c>
      <c r="F142" s="353">
        <f t="shared" si="170"/>
        <v>7</v>
      </c>
      <c r="G142" s="353" t="str">
        <f t="shared" si="170"/>
        <v/>
      </c>
      <c r="H142" s="353">
        <f t="shared" si="170"/>
        <v>1</v>
      </c>
      <c r="I142" s="353" t="str">
        <f t="shared" si="170"/>
        <v/>
      </c>
      <c r="J142" s="353">
        <f t="shared" si="170"/>
        <v>8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3</v>
      </c>
      <c r="O142" s="353" t="str">
        <f t="shared" si="170"/>
        <v/>
      </c>
      <c r="P142" s="353">
        <f t="shared" si="170"/>
        <v>4</v>
      </c>
      <c r="Q142" s="353" t="str">
        <f t="shared" si="170"/>
        <v/>
      </c>
      <c r="R142" s="353">
        <f t="shared" ref="L142:U144" si="171">IF(AQ142=0,"",AQ142)</f>
        <v>10</v>
      </c>
      <c r="S142" s="353" t="str">
        <f t="shared" si="171"/>
        <v/>
      </c>
      <c r="T142" s="353">
        <f t="shared" si="171"/>
        <v>6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VLOOKUP($AA122,Schlüssel!$A$5:$DG$14,103)</f>
        <v>2</v>
      </c>
      <c r="AD142" s="368"/>
      <c r="AE142" s="367">
        <f>VLOOKUP($AA122,Schlüssel!$A$5:$EK$14,104)</f>
        <v>7</v>
      </c>
      <c r="AF142" s="368"/>
      <c r="AG142" s="367">
        <f>VLOOKUP($AA122,Schlüssel!$A$5:$EK$14,105)</f>
        <v>1</v>
      </c>
      <c r="AH142" s="368"/>
      <c r="AI142" s="367">
        <f>VLOOKUP($AA122,Schlüssel!$A$5:$EK$14,106)</f>
        <v>8</v>
      </c>
      <c r="AJ142" s="368"/>
      <c r="AK142" s="367">
        <f>VLOOKUP($AA122,Schlüssel!$A$5:$EK$14,107)</f>
        <v>9</v>
      </c>
      <c r="AL142" s="368"/>
      <c r="AM142" s="367">
        <f>VLOOKUP($AA122,Schlüssel!$A$5:$EK$14,108)</f>
        <v>3</v>
      </c>
      <c r="AN142" s="368"/>
      <c r="AO142" s="367">
        <f>VLOOKUP($AA122,Schlüssel!$A$5:$EK$14,109)</f>
        <v>4</v>
      </c>
      <c r="AP142" s="368"/>
      <c r="AQ142" s="367">
        <f>VLOOKUP($AA122,Schlüssel!$A$5:$EK$14,110)</f>
        <v>10</v>
      </c>
      <c r="AR142" s="368"/>
      <c r="AS142" s="367">
        <f>VLOOKUP($AA122,Schlüssel!$A$5:$EK$14,111)</f>
        <v>6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BK München 2</v>
      </c>
      <c r="E143" s="356" t="str">
        <f t="shared" si="172"/>
        <v/>
      </c>
      <c r="F143" s="355" t="str">
        <f t="shared" si="172"/>
        <v>Frankenpower Nürnberg</v>
      </c>
      <c r="G143" s="356" t="str">
        <f t="shared" si="172"/>
        <v/>
      </c>
      <c r="H143" s="355" t="str">
        <f t="shared" si="172"/>
        <v>Praetoria Regensburg</v>
      </c>
      <c r="I143" s="356" t="str">
        <f t="shared" si="172"/>
        <v/>
      </c>
      <c r="J143" s="355" t="str">
        <f t="shared" si="172"/>
        <v>EPA München 1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Highroller Rosenheim</v>
      </c>
      <c r="O143" s="356" t="str">
        <f t="shared" si="171"/>
        <v/>
      </c>
      <c r="P143" s="355" t="str">
        <f t="shared" si="171"/>
        <v>BK München 3</v>
      </c>
      <c r="Q143" s="356" t="str">
        <f t="shared" si="171"/>
        <v/>
      </c>
      <c r="R143" s="355" t="str">
        <f t="shared" si="171"/>
        <v>BK München 4</v>
      </c>
      <c r="S143" s="356" t="str">
        <f t="shared" si="171"/>
        <v/>
      </c>
      <c r="T143" s="355" t="str">
        <f t="shared" si="171"/>
        <v>Phönix 03 Lauf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2</v>
      </c>
      <c r="AD143" s="356"/>
      <c r="AE143" s="355" t="str">
        <f>VLOOKUP(AE142,Schlüssel!$A$5:$K$14,2)</f>
        <v>Frankenpower Nürnberg</v>
      </c>
      <c r="AF143" s="356"/>
      <c r="AG143" s="355" t="str">
        <f>VLOOKUP(AG142,Schlüssel!$A$5:$K$14,2)</f>
        <v>Praetoria Regensburg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Highroller Rosenheim</v>
      </c>
      <c r="AN143" s="356"/>
      <c r="AO143" s="355" t="str">
        <f>VLOOKUP(AO142,Schlüssel!$A$5:$K$14,2)</f>
        <v>BK München 3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Phönix 03 Lauf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05.04./06.04.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05.04./06.04.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Schweinfurt Extreme Bowlingarena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3</v>
      </c>
      <c r="E172" s="353" t="str">
        <f t="shared" si="205"/>
        <v/>
      </c>
      <c r="F172" s="353">
        <f t="shared" si="205"/>
        <v>10</v>
      </c>
      <c r="G172" s="353" t="str">
        <f t="shared" si="205"/>
        <v/>
      </c>
      <c r="H172" s="353">
        <f t="shared" si="205"/>
        <v>4</v>
      </c>
      <c r="I172" s="353" t="str">
        <f t="shared" si="205"/>
        <v/>
      </c>
      <c r="J172" s="353">
        <f t="shared" si="205"/>
        <v>9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7</v>
      </c>
      <c r="Q172" s="353" t="str">
        <f t="shared" si="205"/>
        <v/>
      </c>
      <c r="R172" s="353">
        <f t="shared" ref="L172:U174" si="206">IF(AQ172=0,"",AQ172)</f>
        <v>1</v>
      </c>
      <c r="S172" s="353" t="str">
        <f t="shared" si="206"/>
        <v/>
      </c>
      <c r="T172" s="353">
        <f t="shared" si="206"/>
        <v>5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VLOOKUP($AA152,Schlüssel!$A$5:$DG$14,103)</f>
        <v>3</v>
      </c>
      <c r="AD172" s="368"/>
      <c r="AE172" s="367">
        <f>VLOOKUP($AA152,Schlüssel!$A$5:$EK$14,104)</f>
        <v>10</v>
      </c>
      <c r="AF172" s="368"/>
      <c r="AG172" s="367">
        <f>VLOOKUP($AA152,Schlüssel!$A$5:$EK$14,105)</f>
        <v>4</v>
      </c>
      <c r="AH172" s="368"/>
      <c r="AI172" s="367">
        <f>VLOOKUP($AA152,Schlüssel!$A$5:$EK$14,106)</f>
        <v>9</v>
      </c>
      <c r="AJ172" s="368"/>
      <c r="AK172" s="367">
        <f>VLOOKUP($AA152,Schlüssel!$A$5:$EK$14,107)</f>
        <v>2</v>
      </c>
      <c r="AL172" s="368"/>
      <c r="AM172" s="367">
        <f>VLOOKUP($AA152,Schlüssel!$A$5:$EK$14,108)</f>
        <v>8</v>
      </c>
      <c r="AN172" s="368"/>
      <c r="AO172" s="367">
        <f>VLOOKUP($AA152,Schlüssel!$A$5:$EK$14,109)</f>
        <v>7</v>
      </c>
      <c r="AP172" s="368"/>
      <c r="AQ172" s="367">
        <f>VLOOKUP($AA152,Schlüssel!$A$5:$EK$14,110)</f>
        <v>1</v>
      </c>
      <c r="AR172" s="368"/>
      <c r="AS172" s="367">
        <f>VLOOKUP($AA152,Schlüssel!$A$5:$EK$14,111)</f>
        <v>5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>Highroller Rosenheim</v>
      </c>
      <c r="E173" s="356" t="str">
        <f t="shared" si="207"/>
        <v/>
      </c>
      <c r="F173" s="355" t="str">
        <f t="shared" si="207"/>
        <v>BK München 4</v>
      </c>
      <c r="G173" s="356" t="str">
        <f t="shared" si="207"/>
        <v/>
      </c>
      <c r="H173" s="355" t="str">
        <f t="shared" si="207"/>
        <v>BK München 3</v>
      </c>
      <c r="I173" s="356" t="str">
        <f t="shared" si="207"/>
        <v/>
      </c>
      <c r="J173" s="355" t="str">
        <f t="shared" si="207"/>
        <v>RW Lichtenhof 69 Stein 2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Frankenpower Nürnberg</v>
      </c>
      <c r="Q173" s="356" t="str">
        <f t="shared" si="206"/>
        <v/>
      </c>
      <c r="R173" s="355" t="str">
        <f t="shared" si="206"/>
        <v>Praetoria Regensburg</v>
      </c>
      <c r="S173" s="356" t="str">
        <f t="shared" si="206"/>
        <v/>
      </c>
      <c r="T173" s="355" t="str">
        <f t="shared" si="206"/>
        <v xml:space="preserve">Weiß Blau Unterföhring 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Highroller Rosenheim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BK München 3</v>
      </c>
      <c r="AH173" s="356"/>
      <c r="AI173" s="355" t="str">
        <f>VLOOKUP(AI172,Schlüssel!$A$5:$K$14,2)</f>
        <v>RW Lichtenhof 69 Stein 2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Frankenpower Nürnberg</v>
      </c>
      <c r="AP173" s="356"/>
      <c r="AQ173" s="355" t="str">
        <f>VLOOKUP(AQ172,Schlüssel!$A$5:$K$14,2)</f>
        <v>Praetoria Regensburg</v>
      </c>
      <c r="AR173" s="356"/>
      <c r="AS173" s="355" t="str">
        <f>VLOOKUP(AS172,Schlüssel!$A$5:$K$14,2)</f>
        <v xml:space="preserve">Weiß Blau Unterföhring 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05.04./06.04.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05.04./06.04.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Schweinfurt Extreme Bowlingarena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1</v>
      </c>
      <c r="E202" s="353" t="str">
        <f t="shared" si="240"/>
        <v/>
      </c>
      <c r="F202" s="353">
        <f t="shared" si="240"/>
        <v>5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2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4</v>
      </c>
      <c r="O202" s="353" t="str">
        <f t="shared" si="240"/>
        <v/>
      </c>
      <c r="P202" s="353">
        <f t="shared" si="240"/>
        <v>6</v>
      </c>
      <c r="Q202" s="353" t="str">
        <f t="shared" si="240"/>
        <v/>
      </c>
      <c r="R202" s="353">
        <f t="shared" ref="L202:U204" si="241">IF(AQ202=0,"",AQ202)</f>
        <v>3</v>
      </c>
      <c r="S202" s="353" t="str">
        <f t="shared" si="241"/>
        <v/>
      </c>
      <c r="T202" s="353">
        <f t="shared" si="241"/>
        <v>8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VLOOKUP($AA182,Schlüssel!$A$5:$DG$14,103)</f>
        <v>1</v>
      </c>
      <c r="AD202" s="368"/>
      <c r="AE202" s="367">
        <f>VLOOKUP($AA182,Schlüssel!$A$5:$EK$14,104)</f>
        <v>5</v>
      </c>
      <c r="AF202" s="368"/>
      <c r="AG202" s="367">
        <f>VLOOKUP($AA182,Schlüssel!$A$5:$EK$14,105)</f>
        <v>9</v>
      </c>
      <c r="AH202" s="368"/>
      <c r="AI202" s="367">
        <f>VLOOKUP($AA182,Schlüssel!$A$5:$EK$14,106)</f>
        <v>2</v>
      </c>
      <c r="AJ202" s="368"/>
      <c r="AK202" s="367">
        <f>VLOOKUP($AA182,Schlüssel!$A$5:$EK$14,107)</f>
        <v>10</v>
      </c>
      <c r="AL202" s="368"/>
      <c r="AM202" s="367">
        <f>VLOOKUP($AA182,Schlüssel!$A$5:$EK$14,108)</f>
        <v>4</v>
      </c>
      <c r="AN202" s="368"/>
      <c r="AO202" s="367">
        <f>VLOOKUP($AA182,Schlüssel!$A$5:$EK$14,109)</f>
        <v>6</v>
      </c>
      <c r="AP202" s="368"/>
      <c r="AQ202" s="367">
        <f>VLOOKUP($AA182,Schlüssel!$A$5:$EK$14,110)</f>
        <v>3</v>
      </c>
      <c r="AR202" s="368"/>
      <c r="AS202" s="367">
        <f>VLOOKUP($AA182,Schlüssel!$A$5:$EK$14,111)</f>
        <v>8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Praetoria Regensburg</v>
      </c>
      <c r="E203" s="356" t="str">
        <f t="shared" si="242"/>
        <v/>
      </c>
      <c r="F203" s="355" t="str">
        <f t="shared" si="242"/>
        <v xml:space="preserve">Weiß Blau Unterföhring 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BK München 2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3</v>
      </c>
      <c r="O203" s="356" t="str">
        <f t="shared" si="241"/>
        <v/>
      </c>
      <c r="P203" s="355" t="str">
        <f t="shared" si="241"/>
        <v>Phönix 03 Lauf</v>
      </c>
      <c r="Q203" s="356" t="str">
        <f t="shared" si="241"/>
        <v/>
      </c>
      <c r="R203" s="355" t="str">
        <f t="shared" si="241"/>
        <v>Highroller Rosenheim</v>
      </c>
      <c r="S203" s="356" t="str">
        <f t="shared" si="241"/>
        <v/>
      </c>
      <c r="T203" s="355" t="str">
        <f t="shared" si="241"/>
        <v>EPA München 1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Praetoria Regensburg</v>
      </c>
      <c r="AD203" s="356"/>
      <c r="AE203" s="355" t="str">
        <f>VLOOKUP(AE202,Schlüssel!$A$5:$K$14,2)</f>
        <v xml:space="preserve">Weiß Blau Unterföhring 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Phönix 03 Lauf</v>
      </c>
      <c r="AP203" s="356"/>
      <c r="AQ203" s="355" t="str">
        <f>VLOOKUP(AQ202,Schlüssel!$A$5:$K$14,2)</f>
        <v>Highroller Rosenheim</v>
      </c>
      <c r="AR203" s="356"/>
      <c r="AS203" s="355" t="str">
        <f>VLOOKUP(AS202,Schlüssel!$A$5:$K$14,2)</f>
        <v>EPA München 1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05.04./06.04.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05.04./06.04.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Schweinfurt Extreme Bowlingarena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10</v>
      </c>
      <c r="E232" s="353" t="str">
        <f t="shared" si="275"/>
        <v/>
      </c>
      <c r="F232" s="353">
        <f t="shared" si="275"/>
        <v>1</v>
      </c>
      <c r="G232" s="353" t="str">
        <f t="shared" si="275"/>
        <v/>
      </c>
      <c r="H232" s="353">
        <f t="shared" si="275"/>
        <v>2</v>
      </c>
      <c r="I232" s="353" t="str">
        <f t="shared" si="275"/>
        <v/>
      </c>
      <c r="J232" s="353">
        <f t="shared" si="275"/>
        <v>5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9</v>
      </c>
      <c r="Q232" s="353" t="str">
        <f t="shared" si="275"/>
        <v/>
      </c>
      <c r="R232" s="353">
        <f t="shared" ref="L232:U234" si="276">IF(AQ232=0,"",AQ232)</f>
        <v>4</v>
      </c>
      <c r="S232" s="353" t="str">
        <f t="shared" si="276"/>
        <v/>
      </c>
      <c r="T232" s="353">
        <f t="shared" si="276"/>
        <v>7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VLOOKUP($AA212,Schlüssel!$A$5:$DG$14,103)</f>
        <v>10</v>
      </c>
      <c r="AD232" s="368"/>
      <c r="AE232" s="367">
        <f>VLOOKUP($AA212,Schlüssel!$A$5:$EK$14,104)</f>
        <v>1</v>
      </c>
      <c r="AF232" s="368"/>
      <c r="AG232" s="367">
        <f>VLOOKUP($AA212,Schlüssel!$A$5:$EK$14,105)</f>
        <v>2</v>
      </c>
      <c r="AH232" s="368"/>
      <c r="AI232" s="367">
        <f>VLOOKUP($AA212,Schlüssel!$A$5:$EK$14,106)</f>
        <v>5</v>
      </c>
      <c r="AJ232" s="368"/>
      <c r="AK232" s="367">
        <f>VLOOKUP($AA212,Schlüssel!$A$5:$EK$14,107)</f>
        <v>3</v>
      </c>
      <c r="AL232" s="368"/>
      <c r="AM232" s="367">
        <f>VLOOKUP($AA212,Schlüssel!$A$5:$EK$14,108)</f>
        <v>6</v>
      </c>
      <c r="AN232" s="368"/>
      <c r="AO232" s="367">
        <f>VLOOKUP($AA212,Schlüssel!$A$5:$EK$14,109)</f>
        <v>9</v>
      </c>
      <c r="AP232" s="368"/>
      <c r="AQ232" s="367">
        <f>VLOOKUP($AA212,Schlüssel!$A$5:$EK$14,110)</f>
        <v>4</v>
      </c>
      <c r="AR232" s="368"/>
      <c r="AS232" s="367">
        <f>VLOOKUP($AA212,Schlüssel!$A$5:$EK$14,111)</f>
        <v>7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BK München 4</v>
      </c>
      <c r="E233" s="356" t="str">
        <f t="shared" si="277"/>
        <v/>
      </c>
      <c r="F233" s="355" t="str">
        <f t="shared" si="277"/>
        <v>Praetoria Regensburg</v>
      </c>
      <c r="G233" s="356" t="str">
        <f t="shared" si="277"/>
        <v/>
      </c>
      <c r="H233" s="355" t="str">
        <f t="shared" si="277"/>
        <v>BK München 2</v>
      </c>
      <c r="I233" s="356" t="str">
        <f t="shared" si="277"/>
        <v/>
      </c>
      <c r="J233" s="355" t="str">
        <f t="shared" si="277"/>
        <v xml:space="preserve">Weiß Blau Unterföhring 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RW Lichtenhof 69 Stein 2</v>
      </c>
      <c r="Q233" s="356" t="str">
        <f t="shared" si="276"/>
        <v/>
      </c>
      <c r="R233" s="355" t="str">
        <f t="shared" si="276"/>
        <v>BK München 3</v>
      </c>
      <c r="S233" s="356" t="str">
        <f t="shared" si="276"/>
        <v/>
      </c>
      <c r="T233" s="355" t="str">
        <f t="shared" si="276"/>
        <v>Frankenpower Nürnberg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>Praetoria Regensburg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RW Lichtenhof 69 Stein 2</v>
      </c>
      <c r="AP233" s="356"/>
      <c r="AQ233" s="355" t="str">
        <f>VLOOKUP(AQ232,Schlüssel!$A$5:$K$14,2)</f>
        <v>BK München 3</v>
      </c>
      <c r="AR233" s="356"/>
      <c r="AS233" s="355" t="str">
        <f>VLOOKUP(AS232,Schlüssel!$A$5:$K$14,2)</f>
        <v>Frankenpower Nürnberg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05.04./06.04.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05.04./06.04.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Schweinfurt Extreme Bowlingarena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4</v>
      </c>
      <c r="E262" s="353" t="str">
        <f t="shared" si="310"/>
        <v/>
      </c>
      <c r="F262" s="353">
        <f t="shared" si="310"/>
        <v>3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6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1</v>
      </c>
      <c r="O262" s="353" t="str">
        <f t="shared" si="310"/>
        <v/>
      </c>
      <c r="P262" s="353">
        <f t="shared" si="310"/>
        <v>8</v>
      </c>
      <c r="Q262" s="353" t="str">
        <f t="shared" si="310"/>
        <v/>
      </c>
      <c r="R262" s="353">
        <f t="shared" ref="L262:U264" si="311">IF(AQ262=0,"",AQ262)</f>
        <v>2</v>
      </c>
      <c r="S262" s="353" t="str">
        <f t="shared" si="311"/>
        <v/>
      </c>
      <c r="T262" s="353">
        <f t="shared" si="311"/>
        <v>10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VLOOKUP($AA242,Schlüssel!$A$5:$DG$14,103)</f>
        <v>4</v>
      </c>
      <c r="AD262" s="368"/>
      <c r="AE262" s="367">
        <f>VLOOKUP($AA242,Schlüssel!$A$5:$EK$14,104)</f>
        <v>3</v>
      </c>
      <c r="AF262" s="368"/>
      <c r="AG262" s="367">
        <f>VLOOKUP($AA242,Schlüssel!$A$5:$EK$14,105)</f>
        <v>7</v>
      </c>
      <c r="AH262" s="368"/>
      <c r="AI262" s="367">
        <f>VLOOKUP($AA242,Schlüssel!$A$5:$EK$14,106)</f>
        <v>6</v>
      </c>
      <c r="AJ262" s="368"/>
      <c r="AK262" s="367">
        <f>VLOOKUP($AA242,Schlüssel!$A$5:$EK$14,107)</f>
        <v>5</v>
      </c>
      <c r="AL262" s="368"/>
      <c r="AM262" s="367">
        <f>VLOOKUP($AA242,Schlüssel!$A$5:$EK$14,108)</f>
        <v>1</v>
      </c>
      <c r="AN262" s="368"/>
      <c r="AO262" s="367">
        <f>VLOOKUP($AA242,Schlüssel!$A$5:$EK$14,109)</f>
        <v>8</v>
      </c>
      <c r="AP262" s="368"/>
      <c r="AQ262" s="367">
        <f>VLOOKUP($AA242,Schlüssel!$A$5:$EK$14,110)</f>
        <v>2</v>
      </c>
      <c r="AR262" s="368"/>
      <c r="AS262" s="367">
        <f>VLOOKUP($AA242,Schlüssel!$A$5:$EK$14,111)</f>
        <v>10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3</v>
      </c>
      <c r="E263" s="356" t="str">
        <f t="shared" si="312"/>
        <v/>
      </c>
      <c r="F263" s="355" t="str">
        <f t="shared" si="312"/>
        <v>Highroller Rosenheim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Phönix 03 Lauf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Praetoria Regensburg</v>
      </c>
      <c r="O263" s="356" t="str">
        <f t="shared" si="311"/>
        <v/>
      </c>
      <c r="P263" s="355" t="str">
        <f t="shared" si="311"/>
        <v>EPA München 1</v>
      </c>
      <c r="Q263" s="356" t="str">
        <f t="shared" si="311"/>
        <v/>
      </c>
      <c r="R263" s="355" t="str">
        <f t="shared" si="311"/>
        <v>BK München 2</v>
      </c>
      <c r="S263" s="356" t="str">
        <f t="shared" si="311"/>
        <v/>
      </c>
      <c r="T263" s="355" t="str">
        <f t="shared" si="311"/>
        <v>BK München 4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3</v>
      </c>
      <c r="AD263" s="356"/>
      <c r="AE263" s="355" t="str">
        <f>VLOOKUP(AE262,Schlüssel!$A$5:$K$14,2)</f>
        <v>Highroller Rosenheim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Phönix 03 Lauf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Praetoria Regensburg</v>
      </c>
      <c r="AN263" s="356"/>
      <c r="AO263" s="355" t="str">
        <f>VLOOKUP(AO262,Schlüssel!$A$5:$K$14,2)</f>
        <v>EPA München 1</v>
      </c>
      <c r="AP263" s="356"/>
      <c r="AQ263" s="355" t="str">
        <f>VLOOKUP(AQ262,Schlüssel!$A$5:$K$14,2)</f>
        <v>BK München 2</v>
      </c>
      <c r="AR263" s="356"/>
      <c r="AS263" s="355" t="str">
        <f>VLOOKUP(AS262,Schlüssel!$A$5:$K$14,2)</f>
        <v>BK München 4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05.04./06.04.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05.04./06.04.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Schweinfurt Extreme Bowlingarena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8</v>
      </c>
      <c r="E292" s="353" t="str">
        <f t="shared" si="345"/>
        <v/>
      </c>
      <c r="F292" s="353">
        <f t="shared" si="345"/>
        <v>6</v>
      </c>
      <c r="G292" s="353" t="str">
        <f t="shared" si="345"/>
        <v/>
      </c>
      <c r="H292" s="353">
        <f t="shared" si="345"/>
        <v>3</v>
      </c>
      <c r="I292" s="353" t="str">
        <f t="shared" si="345"/>
        <v/>
      </c>
      <c r="J292" s="353">
        <f t="shared" si="345"/>
        <v>4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2</v>
      </c>
      <c r="O292" s="353" t="str">
        <f t="shared" si="345"/>
        <v/>
      </c>
      <c r="P292" s="353">
        <f t="shared" si="345"/>
        <v>1</v>
      </c>
      <c r="Q292" s="353" t="str">
        <f t="shared" si="345"/>
        <v/>
      </c>
      <c r="R292" s="353">
        <f t="shared" ref="L292:U294" si="346">IF(AQ292=0,"",AQ292)</f>
        <v>5</v>
      </c>
      <c r="S292" s="353" t="str">
        <f t="shared" si="346"/>
        <v/>
      </c>
      <c r="T292" s="353">
        <f t="shared" si="346"/>
        <v>9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VLOOKUP($AA272,Schlüssel!$A$5:$DG$14,103)</f>
        <v>8</v>
      </c>
      <c r="AD292" s="368"/>
      <c r="AE292" s="367">
        <f>VLOOKUP($AA272,Schlüssel!$A$5:$EK$14,104)</f>
        <v>6</v>
      </c>
      <c r="AF292" s="368"/>
      <c r="AG292" s="367">
        <f>VLOOKUP($AA272,Schlüssel!$A$5:$EK$14,105)</f>
        <v>3</v>
      </c>
      <c r="AH292" s="368"/>
      <c r="AI292" s="367">
        <f>VLOOKUP($AA272,Schlüssel!$A$5:$EK$14,106)</f>
        <v>4</v>
      </c>
      <c r="AJ292" s="368"/>
      <c r="AK292" s="367">
        <f>VLOOKUP($AA272,Schlüssel!$A$5:$EK$14,107)</f>
        <v>7</v>
      </c>
      <c r="AL292" s="368"/>
      <c r="AM292" s="367">
        <f>VLOOKUP($AA272,Schlüssel!$A$5:$EK$14,108)</f>
        <v>2</v>
      </c>
      <c r="AN292" s="368"/>
      <c r="AO292" s="367">
        <f>VLOOKUP($AA272,Schlüssel!$A$5:$EK$14,109)</f>
        <v>1</v>
      </c>
      <c r="AP292" s="368"/>
      <c r="AQ292" s="367">
        <f>VLOOKUP($AA272,Schlüssel!$A$5:$EK$14,110)</f>
        <v>5</v>
      </c>
      <c r="AR292" s="368"/>
      <c r="AS292" s="367">
        <f>VLOOKUP($AA272,Schlüssel!$A$5:$EK$14,111)</f>
        <v>9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EPA München 1</v>
      </c>
      <c r="E293" s="356" t="str">
        <f t="shared" si="347"/>
        <v/>
      </c>
      <c r="F293" s="355" t="str">
        <f t="shared" si="347"/>
        <v>Phönix 03 Lauf</v>
      </c>
      <c r="G293" s="356" t="str">
        <f t="shared" si="347"/>
        <v/>
      </c>
      <c r="H293" s="355" t="str">
        <f t="shared" si="347"/>
        <v>Highroller Rosenheim</v>
      </c>
      <c r="I293" s="356" t="str">
        <f t="shared" si="347"/>
        <v/>
      </c>
      <c r="J293" s="355" t="str">
        <f t="shared" si="347"/>
        <v>BK München 3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2</v>
      </c>
      <c r="O293" s="356" t="str">
        <f t="shared" si="346"/>
        <v/>
      </c>
      <c r="P293" s="355" t="str">
        <f t="shared" si="346"/>
        <v>Praetoria Regensburg</v>
      </c>
      <c r="Q293" s="356" t="str">
        <f t="shared" si="346"/>
        <v/>
      </c>
      <c r="R293" s="355" t="str">
        <f t="shared" si="346"/>
        <v xml:space="preserve">Weiß Blau Unterföhring </v>
      </c>
      <c r="S293" s="356" t="str">
        <f t="shared" si="346"/>
        <v/>
      </c>
      <c r="T293" s="355" t="str">
        <f t="shared" si="346"/>
        <v>RW Lichtenhof 69 Stein 2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Highroller Rosenheim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2</v>
      </c>
      <c r="AN293" s="356"/>
      <c r="AO293" s="355" t="str">
        <f>VLOOKUP(AO292,Schlüssel!$A$5:$K$14,2)</f>
        <v>Praetoria Regensburg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RW Lichtenhof 69 Stein 2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+Erfassung6!AE2</f>
        <v>Schweinfurt Extreme Bowlingarena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72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81" t="str">
        <f>IFERROR(ROUND(INDEX(Erfassung6!BW:BW,MATCH(1,Erfassung6!BZ:BZ,0)),0),"")&amp;"  /  "&amp;ROUND(IFERROR(ROUND(INDEX(Erfassung6!BW:BW,MATCH(1,Erfassung6!BZ:BZ,0)),0),"")/9,2)</f>
        <v>0  /  0</v>
      </c>
      <c r="O24" s="381"/>
      <c r="P24" s="381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8" t="s">
        <v>1825</v>
      </c>
      <c r="N5" s="377"/>
      <c r="O5" s="376" t="s">
        <v>1799</v>
      </c>
      <c r="P5" s="377"/>
      <c r="Q5" s="384" t="s">
        <v>1818</v>
      </c>
    </row>
    <row r="6" spans="1:31" ht="13.8" thickBot="1" x14ac:dyDescent="0.3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5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2794</v>
      </c>
      <c r="N2">
        <f>INDEX(SchnittGes5!N:N,MATCH(L2,SchnittGes5!L:L,0))+INDEX(Schnitt6!N:N,MATCH(L2,Schnitt6!L:L,0))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1181</v>
      </c>
      <c r="N3">
        <f>INDEX(SchnittGes5!N:N,MATCH(L3,SchnittGes5!L:L,0))+INDEX(Schnitt6!N:N,MATCH(L3,Schnitt6!L:L,0))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1681</v>
      </c>
      <c r="N4">
        <f>INDEX(SchnittGes5!N:N,MATCH(L4,SchnittGes5!L:L,0))+INDEX(Schnitt6!N:N,MATCH(L4,Schnitt6!L:L,0))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INDEX(SchnittGes5!M:M,MATCH(L5,SchnittGes5!L:L,0))+INDEX(Schnitt6!M:M,MATCH(L5,Schnitt6!L:L,0))</f>
        <v>1117</v>
      </c>
      <c r="N5">
        <f>INDEX(SchnittGes5!N:N,MATCH(L5,SchnittGes5!L:L,0))+INDEX(Schnitt6!N:N,MATCH(L5,Schnitt6!L:L,0))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INDEX(SchnittGes5!M:M,MATCH(L7,SchnittGes5!L:L,0))+INDEX(Schnitt6!M:M,MATCH(L7,Schnitt6!L:L,0))</f>
        <v>3312</v>
      </c>
      <c r="N7">
        <f>INDEX(SchnittGes5!N:N,MATCH(L7,SchnittGes5!L:L,0))+INDEX(Schnitt6!N:N,MATCH(L7,Schnitt6!L:L,0))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INDEX(SchnittGes5!M:M,MATCH(L9,SchnittGes5!L:L,0))+INDEX(Schnitt6!M:M,MATCH(L9,Schnitt6!L:L,0))</f>
        <v>3492</v>
      </c>
      <c r="N9">
        <f>INDEX(SchnittGes5!N:N,MATCH(L9,SchnittGes5!L:L,0))+INDEX(Schnitt6!N:N,MATCH(L9,Schnitt6!L:L,0))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INDEX(SchnittGes5!M:M,MATCH(L10,SchnittGes5!L:L,0))+INDEX(Schnitt6!M:M,MATCH(L10,Schnitt6!L:L,0))</f>
        <v>3376</v>
      </c>
      <c r="N10">
        <f>INDEX(SchnittGes5!N:N,MATCH(L10,SchnittGes5!L:L,0))+INDEX(Schnitt6!N:N,MATCH(L10,Schnitt6!L:L,0))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INDEX(SchnittGes5!M:M,MATCH(L11,SchnittGes5!L:L,0))+INDEX(Schnitt6!M:M,MATCH(L11,Schnitt6!L:L,0))</f>
        <v>3084</v>
      </c>
      <c r="N11">
        <f>INDEX(SchnittGes5!N:N,MATCH(L11,SchnittGes5!L:L,0))+INDEX(Schnitt6!N:N,MATCH(L11,Schnitt6!L:L,0))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INDEX(SchnittGes5!M:M,MATCH(L12,SchnittGes5!L:L,0))+INDEX(Schnitt6!M:M,MATCH(L12,Schnitt6!L:L,0))</f>
        <v>3125</v>
      </c>
      <c r="N12">
        <f>INDEX(SchnittGes5!N:N,MATCH(L12,SchnittGes5!L:L,0))+INDEX(Schnitt6!N:N,MATCH(L12,Schnitt6!L:L,0))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INDEX(SchnittGes5!M:M,MATCH(L13,SchnittGes5!L:L,0))+INDEX(Schnitt6!M:M,MATCH(L13,Schnitt6!L:L,0))</f>
        <v>3103</v>
      </c>
      <c r="N13">
        <f>INDEX(SchnittGes5!N:N,MATCH(L13,SchnittGes5!L:L,0))+INDEX(Schnitt6!N:N,MATCH(L13,Schnitt6!L:L,0))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INDEX(SchnittGes5!M:M,MATCH(L14,SchnittGes5!L:L,0))+INDEX(Schnitt6!M:M,MATCH(L14,Schnitt6!L:L,0))</f>
        <v>2791</v>
      </c>
      <c r="N14">
        <f>INDEX(SchnittGes5!N:N,MATCH(L14,SchnittGes5!L:L,0))+INDEX(Schnitt6!N:N,MATCH(L14,Schnitt6!L:L,0))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INDEX(SchnittGes5!M:M,MATCH(L15,SchnittGes5!L:L,0))+INDEX(Schnitt6!M:M,MATCH(L15,Schnitt6!L:L,0))</f>
        <v>772</v>
      </c>
      <c r="N15">
        <f>INDEX(SchnittGes5!N:N,MATCH(L15,SchnittGes5!L:L,0))+INDEX(Schnitt6!N:N,MATCH(L15,Schnitt6!L:L,0))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INDEX(SchnittGes5!M:M,MATCH(L16,SchnittGes5!L:L,0))+INDEX(Schnitt6!M:M,MATCH(L16,Schnitt6!L:L,0))</f>
        <v>3454</v>
      </c>
      <c r="N16">
        <f>INDEX(SchnittGes5!N:N,MATCH(L16,SchnittGes5!L:L,0))+INDEX(Schnitt6!N:N,MATCH(L16,Schnitt6!L:L,0))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INDEX(SchnittGes5!M:M,MATCH(L17,SchnittGes5!L:L,0))+INDEX(Schnitt6!M:M,MATCH(L17,Schnitt6!L:L,0))</f>
        <v>1641</v>
      </c>
      <c r="N17">
        <f>INDEX(SchnittGes5!N:N,MATCH(L17,SchnittGes5!L:L,0))+INDEX(Schnitt6!N:N,MATCH(L17,Schnitt6!L:L,0))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INDEX(SchnittGes5!M:M,MATCH(L18,SchnittGes5!L:L,0))+INDEX(Schnitt6!M:M,MATCH(L18,Schnitt6!L:L,0))</f>
        <v>3317</v>
      </c>
      <c r="N18">
        <f>INDEX(SchnittGes5!N:N,MATCH(L18,SchnittGes5!L:L,0))+INDEX(Schnitt6!N:N,MATCH(L18,Schnitt6!L:L,0))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INDEX(SchnittGes5!M:M,MATCH(L19,SchnittGes5!L:L,0))+INDEX(Schnitt6!M:M,MATCH(L19,Schnitt6!L:L,0))</f>
        <v>1495</v>
      </c>
      <c r="N19">
        <f>INDEX(SchnittGes5!N:N,MATCH(L19,SchnittGes5!L:L,0))+INDEX(Schnitt6!N:N,MATCH(L19,Schnitt6!L:L,0))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INDEX(SchnittGes5!M:M,MATCH(L20,SchnittGes5!L:L,0))+INDEX(Schnitt6!M:M,MATCH(L20,Schnitt6!L:L,0))</f>
        <v>1893</v>
      </c>
      <c r="N20">
        <f>INDEX(SchnittGes5!N:N,MATCH(L20,SchnittGes5!L:L,0))+INDEX(Schnitt6!N:N,MATCH(L20,Schnitt6!L:L,0))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INDEX(SchnittGes5!M:M,MATCH(L21,SchnittGes5!L:L,0))+INDEX(Schnitt6!M:M,MATCH(L21,Schnitt6!L:L,0))</f>
        <v>960</v>
      </c>
      <c r="N21">
        <f>INDEX(SchnittGes5!N:N,MATCH(L21,SchnittGes5!L:L,0))+INDEX(Schnitt6!N:N,MATCH(L21,Schnitt6!L:L,0))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INDEX(SchnittGes5!M:M,MATCH(L22,SchnittGes5!L:L,0))+INDEX(Schnitt6!M:M,MATCH(L22,Schnitt6!L:L,0))</f>
        <v>983</v>
      </c>
      <c r="N22">
        <f>INDEX(SchnittGes5!N:N,MATCH(L22,SchnittGes5!L:L,0))+INDEX(Schnitt6!N:N,MATCH(L22,Schnitt6!L:L,0))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INDEX(SchnittGes5!M:M,MATCH(L24,SchnittGes5!L:L,0))+INDEX(Schnitt6!M:M,MATCH(L24,Schnitt6!L:L,0))</f>
        <v>3390</v>
      </c>
      <c r="N24">
        <f>INDEX(SchnittGes5!N:N,MATCH(L24,SchnittGes5!L:L,0))+INDEX(Schnitt6!N:N,MATCH(L24,Schnitt6!L:L,0))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INDEX(SchnittGes5!M:M,MATCH(L25,SchnittGes5!L:L,0))+INDEX(Schnitt6!M:M,MATCH(L25,Schnitt6!L:L,0))</f>
        <v>2838</v>
      </c>
      <c r="N25">
        <f>INDEX(SchnittGes5!N:N,MATCH(L25,SchnittGes5!L:L,0))+INDEX(Schnitt6!N:N,MATCH(L25,Schnitt6!L:L,0))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INDEX(SchnittGes5!M:M,MATCH(L26,SchnittGes5!L:L,0))+INDEX(Schnitt6!M:M,MATCH(L26,Schnitt6!L:L,0))</f>
        <v>1816</v>
      </c>
      <c r="N26">
        <f>INDEX(SchnittGes5!N:N,MATCH(L26,SchnittGes5!L:L,0))+INDEX(Schnitt6!N:N,MATCH(L26,Schnitt6!L:L,0))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INDEX(SchnittGes5!M:M,MATCH(L27,SchnittGes5!L:L,0))+INDEX(Schnitt6!M:M,MATCH(L27,Schnitt6!L:L,0))</f>
        <v>2433</v>
      </c>
      <c r="N27">
        <f>INDEX(SchnittGes5!N:N,MATCH(L27,SchnittGes5!L:L,0))+INDEX(Schnitt6!N:N,MATCH(L27,Schnitt6!L:L,0))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INDEX(SchnittGes5!M:M,MATCH(L29,SchnittGes5!L:L,0))+INDEX(Schnitt6!M:M,MATCH(L29,Schnitt6!L:L,0))</f>
        <v>3165</v>
      </c>
      <c r="N29">
        <f>INDEX(SchnittGes5!N:N,MATCH(L29,SchnittGes5!L:L,0))+INDEX(Schnitt6!N:N,MATCH(L29,Schnitt6!L:L,0))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INDEX(SchnittGes5!M:M,MATCH(L30,SchnittGes5!L:L,0))+INDEX(Schnitt6!M:M,MATCH(L30,Schnitt6!L:L,0))</f>
        <v>3025</v>
      </c>
      <c r="N30">
        <f>INDEX(SchnittGes5!N:N,MATCH(L30,SchnittGes5!L:L,0))+INDEX(Schnitt6!N:N,MATCH(L30,Schnitt6!L:L,0))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INDEX(SchnittGes5!M:M,MATCH(L31,SchnittGes5!L:L,0))+INDEX(Schnitt6!M:M,MATCH(L31,Schnitt6!L:L,0))</f>
        <v>2949</v>
      </c>
      <c r="N31">
        <f>INDEX(SchnittGes5!N:N,MATCH(L31,SchnittGes5!L:L,0))+INDEX(Schnitt6!N:N,MATCH(L31,Schnitt6!L:L,0))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INDEX(SchnittGes5!M:M,MATCH(L32,SchnittGes5!L:L,0))+INDEX(Schnitt6!M:M,MATCH(L32,Schnitt6!L:L,0))</f>
        <v>3252</v>
      </c>
      <c r="N32">
        <f>INDEX(SchnittGes5!N:N,MATCH(L32,SchnittGes5!L:L,0))+INDEX(Schnitt6!N:N,MATCH(L32,Schnitt6!L:L,0))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INDEX(SchnittGes5!M:M,MATCH(L42,SchnittGes5!L:L,0))+INDEX(Schnitt6!M:M,MATCH(L42,Schnitt6!L:L,0))</f>
        <v>1308</v>
      </c>
      <c r="N42">
        <f>INDEX(SchnittGes5!N:N,MATCH(L42,SchnittGes5!L:L,0))+INDEX(Schnitt6!N:N,MATCH(L42,Schnitt6!L:L,0))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INDEX(SchnittGes5!M:M,MATCH(L44,SchnittGes5!L:L,0))+INDEX(Schnitt6!M:M,MATCH(L44,Schnitt6!L:L,0))</f>
        <v>3223</v>
      </c>
      <c r="N44">
        <f>INDEX(SchnittGes5!N:N,MATCH(L44,SchnittGes5!L:L,0))+INDEX(Schnitt6!N:N,MATCH(L44,Schnitt6!L:L,0))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INDEX(SchnittGes5!M:M,MATCH(L45,SchnittGes5!L:L,0))+INDEX(Schnitt6!M:M,MATCH(L45,Schnitt6!L:L,0))</f>
        <v>3101</v>
      </c>
      <c r="N45">
        <f>INDEX(SchnittGes5!N:N,MATCH(L45,SchnittGes5!L:L,0))+INDEX(Schnitt6!N:N,MATCH(L45,Schnitt6!L:L,0))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INDEX(SchnittGes5!M:M,MATCH(L46,SchnittGes5!L:L,0))+INDEX(Schnitt6!M:M,MATCH(L46,Schnitt6!L:L,0))</f>
        <v>2715</v>
      </c>
      <c r="N46">
        <f>INDEX(SchnittGes5!N:N,MATCH(L46,SchnittGes5!L:L,0))+INDEX(Schnitt6!N:N,MATCH(L46,Schnitt6!L:L,0))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INDEX(SchnittGes5!M:M,MATCH(L49,SchnittGes5!L:L,0))+INDEX(Schnitt6!M:M,MATCH(L49,Schnitt6!L:L,0))</f>
        <v>575</v>
      </c>
      <c r="N49">
        <f>INDEX(SchnittGes5!N:N,MATCH(L49,SchnittGes5!L:L,0))+INDEX(Schnitt6!N:N,MATCH(L49,Schnitt6!L:L,0))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INDEX(SchnittGes5!M:M,MATCH(L51,SchnittGes5!L:L,0))+INDEX(Schnitt6!M:M,MATCH(L51,Schnitt6!L:L,0))</f>
        <v>1516</v>
      </c>
      <c r="N51">
        <f>INDEX(SchnittGes5!N:N,MATCH(L51,SchnittGes5!L:L,0))+INDEX(Schnitt6!N:N,MATCH(L51,Schnitt6!L:L,0))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INDEX(SchnittGes5!M:M,MATCH(L52,SchnittGes5!L:L,0))+INDEX(Schnitt6!M:M,MATCH(L52,Schnitt6!L:L,0))</f>
        <v>1102</v>
      </c>
      <c r="N52">
        <f>INDEX(SchnittGes5!N:N,MATCH(L52,SchnittGes5!L:L,0))+INDEX(Schnitt6!N:N,MATCH(L52,Schnitt6!L:L,0))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INDEX(SchnittGes5!M:M,MATCH(L54,SchnittGes5!L:L,0))+INDEX(Schnitt6!M:M,MATCH(L54,Schnitt6!L:L,0))</f>
        <v>2473</v>
      </c>
      <c r="N54">
        <f>INDEX(SchnittGes5!N:N,MATCH(L54,SchnittGes5!L:L,0))+INDEX(Schnitt6!N:N,MATCH(L54,Schnitt6!L:L,0))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INDEX(SchnittGes5!M:M,MATCH(L55,SchnittGes5!L:L,0))+INDEX(Schnitt6!M:M,MATCH(L55,Schnitt6!L:L,0))</f>
        <v>3268</v>
      </c>
      <c r="N55">
        <f>INDEX(SchnittGes5!N:N,MATCH(L55,SchnittGes5!L:L,0))+INDEX(Schnitt6!N:N,MATCH(L55,Schnitt6!L:L,0))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INDEX(SchnittGes5!M:M,MATCH(L56,SchnittGes5!L:L,0))+INDEX(Schnitt6!M:M,MATCH(L56,Schnitt6!L:L,0))</f>
        <v>3591</v>
      </c>
      <c r="N56">
        <f>INDEX(SchnittGes5!N:N,MATCH(L56,SchnittGes5!L:L,0))+INDEX(Schnitt6!N:N,MATCH(L56,Schnitt6!L:L,0))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INDEX(SchnittGes5!M:M,MATCH(L57,SchnittGes5!L:L,0))+INDEX(Schnitt6!M:M,MATCH(L57,Schnitt6!L:L,0))</f>
        <v>2839</v>
      </c>
      <c r="N57">
        <f>INDEX(SchnittGes5!N:N,MATCH(L57,SchnittGes5!L:L,0))+INDEX(Schnitt6!N:N,MATCH(L57,Schnitt6!L:L,0))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3066</v>
      </c>
      <c r="N59">
        <f>INDEX(SchnittGes5!N:N,MATCH(L59,SchnittGes5!L:L,0))+INDEX(Schnitt6!N:N,MATCH(L59,Schnitt6!L:L,0))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2908</v>
      </c>
      <c r="N60">
        <f>INDEX(SchnittGes5!N:N,MATCH(L60,SchnittGes5!L:L,0))+INDEX(Schnitt6!N:N,MATCH(L60,Schnitt6!L:L,0))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3200</v>
      </c>
      <c r="N61">
        <f>INDEX(SchnittGes5!N:N,MATCH(L61,SchnittGes5!L:L,0))+INDEX(Schnitt6!N:N,MATCH(L61,Schnitt6!L:L,0))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2566</v>
      </c>
      <c r="N65">
        <f>INDEX(SchnittGes5!N:N,MATCH(L65,SchnittGes5!L:L,0))+INDEX(Schnitt6!N:N,MATCH(L65,Schnitt6!L:L,0))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1368</v>
      </c>
      <c r="N66">
        <f>INDEX(SchnittGes5!N:N,MATCH(L66,SchnittGes5!L:L,0))+INDEX(Schnitt6!N:N,MATCH(L66,Schnitt6!L:L,0))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2351</v>
      </c>
      <c r="N67">
        <f>INDEX(SchnittGes5!N:N,MATCH(L67,SchnittGes5!L:L,0))+INDEX(Schnitt6!N:N,MATCH(L67,Schnitt6!L:L,0))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885</v>
      </c>
      <c r="N68">
        <f>INDEX(SchnittGes5!N:N,MATCH(L68,SchnittGes5!L:L,0))+INDEX(Schnitt6!N:N,MATCH(L68,Schnitt6!L:L,0))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3168</v>
      </c>
      <c r="N69">
        <f>INDEX(SchnittGes5!N:N,MATCH(L69,SchnittGes5!L:L,0))+INDEX(Schnitt6!N:N,MATCH(L69,Schnitt6!L:L,0))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3034</v>
      </c>
      <c r="N70">
        <f>INDEX(SchnittGes5!N:N,MATCH(L70,SchnittGes5!L:L,0))+INDEX(Schnitt6!N:N,MATCH(L70,Schnitt6!L:L,0))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3347</v>
      </c>
      <c r="N71">
        <f>INDEX(SchnittGes5!N:N,MATCH(L71,SchnittGes5!L:L,0))+INDEX(Schnitt6!N:N,MATCH(L71,Schnitt6!L:L,0))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1583</v>
      </c>
      <c r="N72">
        <f>INDEX(SchnittGes5!N:N,MATCH(L72,SchnittGes5!L:L,0))+INDEX(Schnitt6!N:N,MATCH(L72,Schnitt6!L:L,0))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zoomScale="115" workbookViewId="0">
      <selection activeCell="A73" sqref="A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+Spielzettel1!T2</f>
        <v>1</v>
      </c>
      <c r="F6" s="331"/>
      <c r="P6" s="140" t="s">
        <v>1838</v>
      </c>
      <c r="Q6" s="332" t="str">
        <f>+Spielzettel1!U1</f>
        <v>12.10./13.10.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+Spielzettel1!F2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+Spielzettel1!F1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25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6" t="s">
        <v>2550</v>
      </c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6" t="s">
        <v>2319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2551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19" t="s">
        <v>2552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4" t="s">
        <v>2547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4" t="s">
        <v>2553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Schlüssel!$M$1</f>
        <v>12.10./13.10.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00000000000001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00000000000001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00000000000001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00000000000001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00000000000001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00000000000001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00000000000001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00000000000001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00000000000001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00000000000001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00000000000001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VLOOKUP(B2,Schlüssel!$A$5:$K$14,3)</f>
        <v>3</v>
      </c>
      <c r="E22" s="353"/>
      <c r="F22" s="353">
        <f>VLOOKUP(B2,Schlüssel!$A$5:$K$14,4)</f>
        <v>9</v>
      </c>
      <c r="G22" s="353"/>
      <c r="H22" s="353">
        <f>VLOOKUP(B2,Schlüssel!$A$5:$K$14,5)</f>
        <v>6</v>
      </c>
      <c r="I22" s="353"/>
      <c r="J22" s="353">
        <f>VLOOKUP(B2,Schlüssel!$A$5:$K$14,6)</f>
        <v>5</v>
      </c>
      <c r="K22" s="353"/>
      <c r="L22" s="353">
        <f>VLOOKUP(B2,Schlüssel!$A$5:$K$14,7)</f>
        <v>10</v>
      </c>
      <c r="M22" s="353"/>
      <c r="N22" s="353">
        <f>VLOOKUP(B2,Schlüssel!$A$5:$K$14,8)</f>
        <v>7</v>
      </c>
      <c r="O22" s="353"/>
      <c r="P22" s="353">
        <f>VLOOKUP(B2,Schlüssel!$A$5:$K$14,9)</f>
        <v>4</v>
      </c>
      <c r="Q22" s="353"/>
      <c r="R22" s="353">
        <f>VLOOKUP(B2,Schlüssel!$A$5:$K$14,10)</f>
        <v>2</v>
      </c>
      <c r="S22" s="353"/>
      <c r="T22" s="353">
        <f>VLOOKUP(B2,Schlüssel!$A$5:$K$14,11)</f>
        <v>8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Highroller Rosenheim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Phönix 03 Lauf</v>
      </c>
      <c r="I23" s="356"/>
      <c r="J23" s="355" t="str">
        <f>VLOOKUP(J22,Schlüssel!$A$5:$K$14,2)</f>
        <v xml:space="preserve">Weiß Blau Unterföhring 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>Frankenpower Nürnberg</v>
      </c>
      <c r="O23" s="356"/>
      <c r="P23" s="355" t="str">
        <f>VLOOKUP(P22,Schlüssel!$A$5:$K$14,2)</f>
        <v>BK München 3</v>
      </c>
      <c r="Q23" s="356"/>
      <c r="R23" s="355" t="str">
        <f>VLOOKUP(R22,Schlüssel!$A$5:$K$14,2)</f>
        <v>BK München 2</v>
      </c>
      <c r="S23" s="356"/>
      <c r="T23" s="355" t="str">
        <f>VLOOKUP(T22,Schlüssel!$A$5:$K$14,2)</f>
        <v>EPA München 1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Schlüssel!$M$1</f>
        <v>12.10./13.10.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00000000000001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00000000000001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00000000000001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00000000000001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00000000000001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00000000000001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00000000000001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00000000000001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00000000000001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00000000000001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00000000000001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VLOOKUP(B31,Schlüssel!$A$5:$K$14,3)</f>
        <v>6</v>
      </c>
      <c r="E51" s="353"/>
      <c r="F51" s="353">
        <f>VLOOKUP(B31,Schlüssel!$A$5:$K$14,4)</f>
        <v>4</v>
      </c>
      <c r="G51" s="353"/>
      <c r="H51" s="353">
        <f>VLOOKUP(B31,Schlüssel!$A$5:$K$14,5)</f>
        <v>8</v>
      </c>
      <c r="I51" s="353"/>
      <c r="J51" s="353">
        <f>VLOOKUP(B31,Schlüssel!$A$5:$K$14,6)</f>
        <v>7</v>
      </c>
      <c r="K51" s="353"/>
      <c r="L51" s="353">
        <f>VLOOKUP(B31,Schlüssel!$A$5:$K$14,7)</f>
        <v>3</v>
      </c>
      <c r="M51" s="353"/>
      <c r="N51" s="353">
        <f>VLOOKUP(B31,Schlüssel!$A$5:$K$14,8)</f>
        <v>5</v>
      </c>
      <c r="O51" s="353"/>
      <c r="P51" s="353">
        <f>VLOOKUP(B31,Schlüssel!$A$5:$K$14,9)</f>
        <v>10</v>
      </c>
      <c r="Q51" s="353"/>
      <c r="R51" s="353">
        <f>VLOOKUP(B31,Schlüssel!$A$5:$K$14,10)</f>
        <v>1</v>
      </c>
      <c r="S51" s="353"/>
      <c r="T51" s="353">
        <f>VLOOKUP(B31,Schlüssel!$A$5:$K$14,11)</f>
        <v>9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Phönix 03 Lauf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 xml:space="preserve">Weiß Blau Unterföhring </v>
      </c>
      <c r="O52" s="356"/>
      <c r="P52" s="355" t="str">
        <f>VLOOKUP(P51,Schlüssel!$A$5:$K$14,2)</f>
        <v>BK München 4</v>
      </c>
      <c r="Q52" s="356"/>
      <c r="R52" s="355" t="str">
        <f>VLOOKUP(R51,Schlüssel!$A$5:$K$14,2)</f>
        <v>Praetoria Regensburg</v>
      </c>
      <c r="S52" s="356"/>
      <c r="T52" s="355" t="str">
        <f>VLOOKUP(T51,Schlüssel!$A$5:$K$14,2)</f>
        <v>RW Lichtenhof 69 Stein 2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Schlüssel!$M$1</f>
        <v>12.10./13.10.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00000000000001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00000000000001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00000000000001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00000000000001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00000000000001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00000000000001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00000000000001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00000000000001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00000000000001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00000000000001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00000000000001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VLOOKUP(B60,Schlüssel!$A$5:$K$14,3)</f>
        <v>1</v>
      </c>
      <c r="E80" s="353"/>
      <c r="F80" s="353">
        <f>VLOOKUP(B60,Schlüssel!$A$5:$K$14,4)</f>
        <v>10</v>
      </c>
      <c r="G80" s="353"/>
      <c r="H80" s="353">
        <f>VLOOKUP(B60,Schlüssel!$A$5:$K$14,5)</f>
        <v>5</v>
      </c>
      <c r="I80" s="353"/>
      <c r="J80" s="353">
        <f>VLOOKUP(B60,Schlüssel!$A$5:$K$14,6)</f>
        <v>9</v>
      </c>
      <c r="K80" s="353"/>
      <c r="L80" s="353">
        <f>VLOOKUP(B60,Schlüssel!$A$5:$K$14,7)</f>
        <v>2</v>
      </c>
      <c r="M80" s="353"/>
      <c r="N80" s="353">
        <f>VLOOKUP(B60,Schlüssel!$A$5:$K$14,8)</f>
        <v>6</v>
      </c>
      <c r="O80" s="353"/>
      <c r="P80" s="353">
        <f>VLOOKUP(B60,Schlüssel!$A$5:$K$14,9)</f>
        <v>8</v>
      </c>
      <c r="Q80" s="353"/>
      <c r="R80" s="353">
        <f>VLOOKUP(B60,Schlüssel!$A$5:$K$14,10)</f>
        <v>4</v>
      </c>
      <c r="S80" s="353"/>
      <c r="T80" s="353">
        <f>VLOOKUP(B60,Schlüssel!$A$5:$K$14,11)</f>
        <v>7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Praetoria Regensburg</v>
      </c>
      <c r="E81" s="356"/>
      <c r="F81" s="355" t="str">
        <f>VLOOKUP(F80,Schlüssel!$A$5:$K$14,2)</f>
        <v>BK München 4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RW Lichtenhof 69 Stein 2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EPA München 1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Frankenpower Nürnberg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Schlüssel!$M$1</f>
        <v>12.10./13.10.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00000000000001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00000000000001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00000000000001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00000000000001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00000000000001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00000000000001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00000000000001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00000000000001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00000000000001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00000000000001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00000000000001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VLOOKUP(B89,Schlüssel!$A$5:$K$14,3)</f>
        <v>7</v>
      </c>
      <c r="E109" s="353"/>
      <c r="F109" s="353">
        <f>VLOOKUP(B89,Schlüssel!$A$5:$K$14,4)</f>
        <v>2</v>
      </c>
      <c r="G109" s="353"/>
      <c r="H109" s="353">
        <f>VLOOKUP(B89,Schlüssel!$A$5:$K$14,5)</f>
        <v>9</v>
      </c>
      <c r="I109" s="353"/>
      <c r="J109" s="353">
        <f>VLOOKUP(B89,Schlüssel!$A$5:$K$14,6)</f>
        <v>10</v>
      </c>
      <c r="K109" s="353"/>
      <c r="L109" s="353">
        <f>VLOOKUP(B89,Schlüssel!$A$5:$K$14,7)</f>
        <v>6</v>
      </c>
      <c r="M109" s="353"/>
      <c r="N109" s="353">
        <f>VLOOKUP(B89,Schlüssel!$A$5:$K$14,8)</f>
        <v>8</v>
      </c>
      <c r="O109" s="353"/>
      <c r="P109" s="353">
        <f>VLOOKUP(B89,Schlüssel!$A$5:$K$14,9)</f>
        <v>1</v>
      </c>
      <c r="Q109" s="353"/>
      <c r="R109" s="353">
        <f>VLOOKUP(B89,Schlüssel!$A$5:$K$14,10)</f>
        <v>3</v>
      </c>
      <c r="S109" s="353"/>
      <c r="T109" s="353">
        <f>VLOOKUP(B89,Schlüssel!$A$5:$K$14,11)</f>
        <v>5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Frankenpower Nürnberg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EPA München 1</v>
      </c>
      <c r="O110" s="356"/>
      <c r="P110" s="355" t="str">
        <f>VLOOKUP(P109,Schlüssel!$A$5:$K$14,2)</f>
        <v>Praetoria Regensburg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 xml:space="preserve">Weiß Blau Unterföhring 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Schlüssel!$M$1</f>
        <v>12.10./13.10.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00000000000001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00000000000001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00000000000001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00000000000001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00000000000001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00000000000001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00000000000001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00000000000001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00000000000001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00000000000001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00000000000001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VLOOKUP(B118,Schlüssel!$A$5:$K$14,3)</f>
        <v>9</v>
      </c>
      <c r="E138" s="353"/>
      <c r="F138" s="353">
        <f>VLOOKUP(B118,Schlüssel!$A$5:$K$14,4)</f>
        <v>8</v>
      </c>
      <c r="G138" s="353"/>
      <c r="H138" s="353">
        <f>VLOOKUP(B118,Schlüssel!$A$5:$K$14,5)</f>
        <v>3</v>
      </c>
      <c r="I138" s="353"/>
      <c r="J138" s="353">
        <f>VLOOKUP(B118,Schlüssel!$A$5:$K$14,6)</f>
        <v>1</v>
      </c>
      <c r="K138" s="353"/>
      <c r="L138" s="353">
        <f>VLOOKUP(B118,Schlüssel!$A$5:$K$14,7)</f>
        <v>7</v>
      </c>
      <c r="M138" s="353"/>
      <c r="N138" s="353">
        <f>VLOOKUP(B118,Schlüssel!$A$5:$K$14,8)</f>
        <v>2</v>
      </c>
      <c r="O138" s="353"/>
      <c r="P138" s="353">
        <f>VLOOKUP(B118,Schlüssel!$A$5:$K$14,9)</f>
        <v>6</v>
      </c>
      <c r="Q138" s="353"/>
      <c r="R138" s="353">
        <f>VLOOKUP(B118,Schlüssel!$A$5:$K$14,10)</f>
        <v>10</v>
      </c>
      <c r="S138" s="353"/>
      <c r="T138" s="353">
        <f>VLOOKUP(B118,Schlüssel!$A$5:$K$14,11)</f>
        <v>4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RW Lichtenhof 69 Stein 2</v>
      </c>
      <c r="E139" s="356"/>
      <c r="F139" s="355" t="str">
        <f>VLOOKUP(F138,Schlüssel!$A$5:$K$14,2)</f>
        <v>EPA München 1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Praetoria Regensburg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BK München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BK München 3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Schlüssel!$M$1</f>
        <v>12.10./13.10.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00000000000001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00000000000001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00000000000001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00000000000001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00000000000001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00000000000001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00000000000001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00000000000001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00000000000001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00000000000001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00000000000001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VLOOKUP(B147,Schlüssel!$A$5:$K$14,3)</f>
        <v>2</v>
      </c>
      <c r="E167" s="353"/>
      <c r="F167" s="353">
        <f>VLOOKUP(B147,Schlüssel!$A$5:$K$14,4)</f>
        <v>7</v>
      </c>
      <c r="G167" s="353"/>
      <c r="H167" s="353">
        <f>VLOOKUP(B147,Schlüssel!$A$5:$K$14,5)</f>
        <v>1</v>
      </c>
      <c r="I167" s="353"/>
      <c r="J167" s="353">
        <f>VLOOKUP(B147,Schlüssel!$A$5:$K$14,6)</f>
        <v>8</v>
      </c>
      <c r="K167" s="353"/>
      <c r="L167" s="353">
        <f>VLOOKUP(B147,Schlüssel!$A$5:$K$14,7)</f>
        <v>4</v>
      </c>
      <c r="M167" s="353"/>
      <c r="N167" s="353">
        <f>VLOOKUP(B147,Schlüssel!$A$5:$K$14,8)</f>
        <v>3</v>
      </c>
      <c r="O167" s="353"/>
      <c r="P167" s="353">
        <f>VLOOKUP(B147,Schlüssel!$A$5:$K$14,9)</f>
        <v>5</v>
      </c>
      <c r="Q167" s="353"/>
      <c r="R167" s="353">
        <f>VLOOKUP(B147,Schlüssel!$A$5:$K$14,10)</f>
        <v>9</v>
      </c>
      <c r="S167" s="353"/>
      <c r="T167" s="353">
        <f>VLOOKUP(B147,Schlüssel!$A$5:$K$14,11)</f>
        <v>10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2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>Praetoria Regensburg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RW Lichtenhof 69 Stein 2</v>
      </c>
      <c r="S168" s="356"/>
      <c r="T168" s="355" t="str">
        <f>VLOOKUP(T167,Schlüssel!$A$5:$K$14,2)</f>
        <v>BK München 4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Schlüssel!$M$1</f>
        <v>12.10./13.10.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00000000000001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00000000000001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00000000000001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00000000000001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00000000000001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00000000000001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00000000000001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00000000000001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00000000000001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00000000000001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00000000000001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VLOOKUP(B176,Schlüssel!$A$5:$K$14,3)</f>
        <v>4</v>
      </c>
      <c r="E196" s="353"/>
      <c r="F196" s="353">
        <f>VLOOKUP(B176,Schlüssel!$A$5:$K$14,4)</f>
        <v>6</v>
      </c>
      <c r="G196" s="353"/>
      <c r="H196" s="353">
        <f>VLOOKUP(B176,Schlüssel!$A$5:$K$14,5)</f>
        <v>10</v>
      </c>
      <c r="I196" s="353"/>
      <c r="J196" s="353">
        <f>VLOOKUP(B176,Schlüssel!$A$5:$K$14,6)</f>
        <v>2</v>
      </c>
      <c r="K196" s="353"/>
      <c r="L196" s="353">
        <f>VLOOKUP(B176,Schlüssel!$A$5:$K$14,7)</f>
        <v>5</v>
      </c>
      <c r="M196" s="353"/>
      <c r="N196" s="353">
        <f>VLOOKUP(B176,Schlüssel!$A$5:$K$14,8)</f>
        <v>1</v>
      </c>
      <c r="O196" s="353"/>
      <c r="P196" s="353">
        <f>VLOOKUP(B176,Schlüssel!$A$5:$K$14,9)</f>
        <v>9</v>
      </c>
      <c r="Q196" s="353"/>
      <c r="R196" s="353">
        <f>VLOOKUP(B176,Schlüssel!$A$5:$K$14,10)</f>
        <v>8</v>
      </c>
      <c r="S196" s="353"/>
      <c r="T196" s="353">
        <f>VLOOKUP(B176,Schlüssel!$A$5:$K$14,11)</f>
        <v>3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BK München 3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Praetoria Regensburg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>Highroller Rosenheim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Schlüssel!$M$1</f>
        <v>12.10./13.10.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00000000000001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00000000000001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00000000000001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00000000000001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00000000000001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00000000000001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00000000000001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00000000000001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00000000000001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00000000000001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00000000000001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VLOOKUP(B205,Schlüssel!$A$5:$K$14,3)</f>
        <v>10</v>
      </c>
      <c r="E225" s="353"/>
      <c r="F225" s="353">
        <f>VLOOKUP(B205,Schlüssel!$A$5:$K$14,4)</f>
        <v>5</v>
      </c>
      <c r="G225" s="353"/>
      <c r="H225" s="353">
        <f>VLOOKUP(B205,Schlüssel!$A$5:$K$14,5)</f>
        <v>2</v>
      </c>
      <c r="I225" s="353"/>
      <c r="J225" s="353">
        <f>VLOOKUP(B205,Schlüssel!$A$5:$K$14,6)</f>
        <v>6</v>
      </c>
      <c r="K225" s="353"/>
      <c r="L225" s="353">
        <f>VLOOKUP(B205,Schlüssel!$A$5:$K$14,7)</f>
        <v>9</v>
      </c>
      <c r="M225" s="353"/>
      <c r="N225" s="353">
        <f>VLOOKUP(B205,Schlüssel!$A$5:$K$14,8)</f>
        <v>4</v>
      </c>
      <c r="O225" s="353"/>
      <c r="P225" s="353">
        <f>VLOOKUP(B205,Schlüssel!$A$5:$K$14,9)</f>
        <v>3</v>
      </c>
      <c r="Q225" s="353"/>
      <c r="R225" s="353">
        <f>VLOOKUP(B205,Schlüssel!$A$5:$K$14,10)</f>
        <v>7</v>
      </c>
      <c r="S225" s="353"/>
      <c r="T225" s="353">
        <f>VLOOKUP(B205,Schlüssel!$A$5:$K$14,11)</f>
        <v>1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 xml:space="preserve">Weiß Blau Unterföhring 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BK München 3</v>
      </c>
      <c r="O226" s="356"/>
      <c r="P226" s="355" t="str">
        <f>VLOOKUP(P225,Schlüssel!$A$5:$K$14,2)</f>
        <v>Highroller Rosenheim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Praetoria Regensburg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Schlüssel!$M$1</f>
        <v>12.10./13.10.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00000000000001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00000000000001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00000000000001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00000000000001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00000000000001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00000000000001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00000000000001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00000000000001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00000000000001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00000000000001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00000000000001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VLOOKUP(B234,Schlüssel!$A$5:$K$14,3)</f>
        <v>5</v>
      </c>
      <c r="E254" s="353"/>
      <c r="F254" s="353">
        <f>VLOOKUP(B234,Schlüssel!$A$5:$K$14,4)</f>
        <v>1</v>
      </c>
      <c r="G254" s="353"/>
      <c r="H254" s="353">
        <f>VLOOKUP(B234,Schlüssel!$A$5:$K$14,5)</f>
        <v>4</v>
      </c>
      <c r="I254" s="353"/>
      <c r="J254" s="353">
        <f>VLOOKUP(B234,Schlüssel!$A$5:$K$14,6)</f>
        <v>3</v>
      </c>
      <c r="K254" s="353"/>
      <c r="L254" s="353">
        <f>VLOOKUP(B234,Schlüssel!$A$5:$K$14,7)</f>
        <v>8</v>
      </c>
      <c r="M254" s="353"/>
      <c r="N254" s="353">
        <f>VLOOKUP(B234,Schlüssel!$A$5:$K$14,8)</f>
        <v>10</v>
      </c>
      <c r="O254" s="353"/>
      <c r="P254" s="353">
        <f>VLOOKUP(B234,Schlüssel!$A$5:$K$14,9)</f>
        <v>7</v>
      </c>
      <c r="Q254" s="353"/>
      <c r="R254" s="353">
        <f>VLOOKUP(B234,Schlüssel!$A$5:$K$14,10)</f>
        <v>6</v>
      </c>
      <c r="S254" s="353"/>
      <c r="T254" s="353">
        <f>VLOOKUP(B234,Schlüssel!$A$5:$K$14,11)</f>
        <v>2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 xml:space="preserve">Weiß Blau Unterföhring 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>Highroller Rosenheim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Phönix 03 Lauf</v>
      </c>
      <c r="S255" s="356"/>
      <c r="T255" s="355" t="str">
        <f>VLOOKUP(T254,Schlüssel!$A$5:$K$14,2)</f>
        <v>BK München 2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Schlüssel!$M$1</f>
        <v>12.10./13.10.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00000000000001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00000000000001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00000000000001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00000000000001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00000000000001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00000000000001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00000000000001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00000000000001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00000000000001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00000000000001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00000000000001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VLOOKUP(B263,Schlüssel!$A$5:$K$14,3)</f>
        <v>8</v>
      </c>
      <c r="E283" s="353"/>
      <c r="F283" s="353">
        <f>VLOOKUP(B263,Schlüssel!$A$5:$K$14,4)</f>
        <v>3</v>
      </c>
      <c r="G283" s="353"/>
      <c r="H283" s="353">
        <f>VLOOKUP(B263,Schlüssel!$A$5:$K$14,5)</f>
        <v>7</v>
      </c>
      <c r="I283" s="353"/>
      <c r="J283" s="353">
        <f>VLOOKUP(B263,Schlüssel!$A$5:$K$14,6)</f>
        <v>4</v>
      </c>
      <c r="K283" s="353"/>
      <c r="L283" s="353">
        <f>VLOOKUP(B263,Schlüssel!$A$5:$K$14,7)</f>
        <v>1</v>
      </c>
      <c r="M283" s="353"/>
      <c r="N283" s="353">
        <f>VLOOKUP(B263,Schlüssel!$A$5:$K$14,8)</f>
        <v>9</v>
      </c>
      <c r="O283" s="353"/>
      <c r="P283" s="353">
        <f>VLOOKUP(B263,Schlüssel!$A$5:$K$14,9)</f>
        <v>2</v>
      </c>
      <c r="Q283" s="353"/>
      <c r="R283" s="353">
        <f>VLOOKUP(B263,Schlüssel!$A$5:$K$14,10)</f>
        <v>5</v>
      </c>
      <c r="S283" s="353"/>
      <c r="T283" s="353">
        <f>VLOOKUP(B263,Schlüssel!$A$5:$K$14,11)</f>
        <v>6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Highroller Rosenheim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2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Phönix 03 Lauf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12.10./13.10.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12.10./13.10.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5">
        <f>IF(AD7="","",AD7)</f>
        <v>0</v>
      </c>
      <c r="F7" s="75">
        <f t="shared" ref="F7:F20" si="0">IF(AE7=0,"",AE7)</f>
        <v>180</v>
      </c>
      <c r="G7" s="345">
        <f>IF(AF7="","",AF7)</f>
        <v>1</v>
      </c>
      <c r="H7" s="75">
        <f t="shared" ref="H7:H20" si="1">IF(AG7=0,"",AG7)</f>
        <v>180</v>
      </c>
      <c r="I7" s="345">
        <f>IF(AH7="","",AH7)</f>
        <v>0</v>
      </c>
      <c r="J7" s="75">
        <f t="shared" ref="J7:J20" si="2">IF(AI7=0,"",AI7)</f>
        <v>195</v>
      </c>
      <c r="K7" s="345">
        <f>IF(AJ7="","",AJ7)</f>
        <v>1</v>
      </c>
      <c r="L7" s="75">
        <f t="shared" ref="L7:L20" si="3">IF(AK7=0,"",AK7)</f>
        <v>178</v>
      </c>
      <c r="M7" s="345">
        <f>IF(AL7="","",AL7)</f>
        <v>0</v>
      </c>
      <c r="N7" s="75">
        <f>IF(AM7=0,"",AM7)</f>
        <v>147</v>
      </c>
      <c r="O7" s="345">
        <f>IF(AN7="","",AN7)</f>
        <v>0</v>
      </c>
      <c r="P7" s="75">
        <f t="shared" ref="P7:P20" si="4">IF(AO7=0,"",AO7)</f>
        <v>194</v>
      </c>
      <c r="Q7" s="345">
        <f>IF(AP7="","",AP7)</f>
        <v>0.5</v>
      </c>
      <c r="R7" s="75">
        <f t="shared" ref="R7:R20" si="5">IF(AQ7=0,"",AQ7)</f>
        <v>174</v>
      </c>
      <c r="S7" s="345">
        <f>IF(AR7="","",AR7)</f>
        <v>0</v>
      </c>
      <c r="T7" s="75">
        <f t="shared" ref="T7:T20" si="6">IF(AS7=0,"",AS7)</f>
        <v>190</v>
      </c>
      <c r="U7" s="345">
        <f>IF(AT7="","",AT7)</f>
        <v>1</v>
      </c>
      <c r="V7" s="75">
        <f t="shared" ref="V7:V20" si="7">IF(AU7=0,"",AU7)</f>
        <v>1586</v>
      </c>
      <c r="W7" s="345">
        <f>IF(AV7="","",AV7)</f>
        <v>3.5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0.5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3.5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5">
        <f>IF(AD10="","",AD10)</f>
        <v>1</v>
      </c>
      <c r="F10" s="75">
        <f t="shared" si="0"/>
        <v>155</v>
      </c>
      <c r="G10" s="345">
        <f>IF(AF10="","",AF10)</f>
        <v>0</v>
      </c>
      <c r="H10" s="75">
        <f t="shared" si="1"/>
        <v>166</v>
      </c>
      <c r="I10" s="345">
        <f>IF(AH10="","",AH10)</f>
        <v>0</v>
      </c>
      <c r="J10" s="75">
        <f t="shared" si="2"/>
        <v>192</v>
      </c>
      <c r="K10" s="345">
        <f>IF(AJ10="","",AJ10)</f>
        <v>1</v>
      </c>
      <c r="L10" s="75">
        <f t="shared" si="3"/>
        <v>210</v>
      </c>
      <c r="M10" s="345">
        <f>IF(AL10="","",AL10)</f>
        <v>1</v>
      </c>
      <c r="N10" s="75">
        <f t="shared" si="20"/>
        <v>197</v>
      </c>
      <c r="O10" s="345">
        <f>IF(AN10="","",AN10)</f>
        <v>1</v>
      </c>
      <c r="P10" s="75">
        <f t="shared" si="4"/>
        <v>216</v>
      </c>
      <c r="Q10" s="345">
        <f>IF(AP10="","",AP10)</f>
        <v>1</v>
      </c>
      <c r="R10" s="75">
        <f t="shared" si="5"/>
        <v>182</v>
      </c>
      <c r="S10" s="345">
        <f>IF(AR10="","",AR10)</f>
        <v>0</v>
      </c>
      <c r="T10" s="75">
        <f t="shared" si="6"/>
        <v>157</v>
      </c>
      <c r="U10" s="345">
        <f>IF(AT10="","",AT10)</f>
        <v>0</v>
      </c>
      <c r="V10" s="75">
        <f t="shared" si="7"/>
        <v>1667</v>
      </c>
      <c r="W10" s="345">
        <f>IF(AV10="","",AV10)</f>
        <v>5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3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5">
        <f>IF(AD13="","",AD13)</f>
        <v>0</v>
      </c>
      <c r="F13" s="75">
        <f t="shared" si="0"/>
        <v>167</v>
      </c>
      <c r="G13" s="345">
        <f>IF(AF13="","",AF13)</f>
        <v>1</v>
      </c>
      <c r="H13" s="75">
        <f t="shared" si="1"/>
        <v>171</v>
      </c>
      <c r="I13" s="345">
        <f>IF(AH13="","",AH13)</f>
        <v>0</v>
      </c>
      <c r="J13" s="75">
        <f t="shared" si="2"/>
        <v>194</v>
      </c>
      <c r="K13" s="345">
        <f>IF(AJ13="","",AJ13)</f>
        <v>1</v>
      </c>
      <c r="L13" s="75">
        <f t="shared" si="3"/>
        <v>230</v>
      </c>
      <c r="M13" s="345">
        <f>IF(AL13="","",AL13)</f>
        <v>1</v>
      </c>
      <c r="N13" s="75">
        <f t="shared" si="20"/>
        <v>197</v>
      </c>
      <c r="O13" s="345">
        <f>IF(AN13="","",AN13)</f>
        <v>1</v>
      </c>
      <c r="P13" s="75">
        <f t="shared" si="4"/>
        <v>182</v>
      </c>
      <c r="Q13" s="345">
        <f>IF(AP13="","",AP13)</f>
        <v>1</v>
      </c>
      <c r="R13" s="75">
        <f t="shared" si="5"/>
        <v>169</v>
      </c>
      <c r="S13" s="345">
        <f>IF(AR13="","",AR13)</f>
        <v>0</v>
      </c>
      <c r="T13" s="75">
        <f t="shared" si="6"/>
        <v>194</v>
      </c>
      <c r="U13" s="345">
        <f>IF(AT13="","",AT13)</f>
        <v>1</v>
      </c>
      <c r="V13" s="75">
        <f t="shared" si="7"/>
        <v>1681</v>
      </c>
      <c r="W13" s="345">
        <f>IF(AV13="","",AV13)</f>
        <v>6</v>
      </c>
      <c r="Z13" s="348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5">
        <f>IF(AD16="","",AD16)</f>
        <v>0</v>
      </c>
      <c r="F16" s="75">
        <f t="shared" si="0"/>
        <v>172</v>
      </c>
      <c r="G16" s="345">
        <f>IF(AF16="","",AF16)</f>
        <v>1</v>
      </c>
      <c r="H16" s="75">
        <f t="shared" si="1"/>
        <v>163</v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>
        <f t="shared" si="3"/>
        <v>166</v>
      </c>
      <c r="M16" s="345">
        <f>IF(AL16="","",AL16)</f>
        <v>1</v>
      </c>
      <c r="N16" s="75">
        <f t="shared" si="20"/>
        <v>158</v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>
        <f t="shared" si="5"/>
        <v>202</v>
      </c>
      <c r="S16" s="345">
        <f>IF(AR16="","",AR16)</f>
        <v>0</v>
      </c>
      <c r="T16" s="75">
        <f t="shared" si="6"/>
        <v>180</v>
      </c>
      <c r="U16" s="345">
        <f>IF(AT16="","",AT16)</f>
        <v>1</v>
      </c>
      <c r="V16" s="75">
        <f t="shared" si="7"/>
        <v>1211</v>
      </c>
      <c r="W16" s="345">
        <f>IF(AV16="","",AV16)</f>
        <v>3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0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4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>
        <f t="shared" si="2"/>
        <v>126</v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>
        <f t="shared" si="4"/>
        <v>136</v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>
        <f t="shared" si="7"/>
        <v>262</v>
      </c>
      <c r="W17" s="346"/>
      <c r="Z17" s="349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4.5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27.5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4.5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27.5</v>
      </c>
      <c r="AW20" s="101"/>
      <c r="AX20" s="102"/>
      <c r="BA20" s="212">
        <f>+AV20</f>
        <v>27.5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27.506406999999999</v>
      </c>
      <c r="BR20" s="214">
        <f>RANK(BQ20,BQ:BQ)</f>
        <v>5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3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6</v>
      </c>
      <c r="I22" s="353" t="str">
        <f t="shared" si="31"/>
        <v/>
      </c>
      <c r="J22" s="353">
        <f t="shared" si="31"/>
        <v>5</v>
      </c>
      <c r="K22" s="353" t="str">
        <f t="shared" si="31"/>
        <v/>
      </c>
      <c r="L22" s="353">
        <f t="shared" si="31"/>
        <v>10</v>
      </c>
      <c r="M22" s="353" t="str">
        <f t="shared" si="31"/>
        <v/>
      </c>
      <c r="N22" s="353">
        <f t="shared" si="31"/>
        <v>7</v>
      </c>
      <c r="O22" s="353" t="str">
        <f t="shared" si="31"/>
        <v/>
      </c>
      <c r="P22" s="353">
        <f t="shared" si="31"/>
        <v>4</v>
      </c>
      <c r="Q22" s="353" t="str">
        <f t="shared" si="31"/>
        <v/>
      </c>
      <c r="R22" s="353">
        <f t="shared" ref="L22:U24" si="32">IF(AQ22=0,"",AQ22)</f>
        <v>2</v>
      </c>
      <c r="S22" s="353" t="str">
        <f t="shared" si="32"/>
        <v/>
      </c>
      <c r="T22" s="353">
        <f t="shared" si="32"/>
        <v>8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VLOOKUP($AA2,Schlüssel!$A$5:$K$14,3)</f>
        <v>3</v>
      </c>
      <c r="AD22" s="368"/>
      <c r="AE22" s="367">
        <f>VLOOKUP($AA2,Schlüssel!$A$5:$K$14,4)</f>
        <v>9</v>
      </c>
      <c r="AF22" s="368"/>
      <c r="AG22" s="367">
        <f>VLOOKUP($AA2,Schlüssel!$A$5:$K$14,5)</f>
        <v>6</v>
      </c>
      <c r="AH22" s="368"/>
      <c r="AI22" s="367">
        <f>VLOOKUP($AA2,Schlüssel!$A$5:$K$14,6)</f>
        <v>5</v>
      </c>
      <c r="AJ22" s="368"/>
      <c r="AK22" s="367">
        <f>VLOOKUP($AA2,Schlüssel!$A$5:$K$14,7)</f>
        <v>10</v>
      </c>
      <c r="AL22" s="368"/>
      <c r="AM22" s="367">
        <f>VLOOKUP($AA2,Schlüssel!$A$5:$K$14,8)</f>
        <v>7</v>
      </c>
      <c r="AN22" s="368"/>
      <c r="AO22" s="367">
        <f>VLOOKUP($AA2,Schlüssel!$A$5:$K$14,9)</f>
        <v>4</v>
      </c>
      <c r="AP22" s="368"/>
      <c r="AQ22" s="367">
        <f>VLOOKUP($AA2,Schlüssel!$A$5:$K$14,10)</f>
        <v>2</v>
      </c>
      <c r="AR22" s="368"/>
      <c r="AS22" s="367">
        <f>VLOOKUP($AA2,Schlüssel!$A$5:$K$14,11)</f>
        <v>8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Highroller Rosenheim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Phönix 03 Lauf</v>
      </c>
      <c r="I23" s="356" t="str">
        <f t="shared" si="33"/>
        <v/>
      </c>
      <c r="J23" s="355" t="str">
        <f t="shared" si="33"/>
        <v xml:space="preserve">Weiß Blau Unterföhring </v>
      </c>
      <c r="K23" s="356" t="str">
        <f t="shared" si="33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>Frankenpower Nürnberg</v>
      </c>
      <c r="O23" s="356" t="str">
        <f t="shared" si="32"/>
        <v/>
      </c>
      <c r="P23" s="355" t="str">
        <f t="shared" si="32"/>
        <v>BK München 3</v>
      </c>
      <c r="Q23" s="356" t="str">
        <f t="shared" si="32"/>
        <v/>
      </c>
      <c r="R23" s="355" t="str">
        <f t="shared" si="32"/>
        <v>BK München 2</v>
      </c>
      <c r="S23" s="356" t="str">
        <f t="shared" si="32"/>
        <v/>
      </c>
      <c r="T23" s="355" t="str">
        <f t="shared" si="32"/>
        <v>EPA München 1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Highroller Rosenheim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Phönix 03 Lauf</v>
      </c>
      <c r="AH23" s="356"/>
      <c r="AI23" s="355" t="str">
        <f>VLOOKUP(AI22,Schlüssel!$A$5:$K$14,2)</f>
        <v xml:space="preserve">Weiß Blau Unterföhring 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>Frankenpower Nürnberg</v>
      </c>
      <c r="AN23" s="356"/>
      <c r="AO23" s="355" t="str">
        <f>VLOOKUP(AO22,Schlüssel!$A$5:$K$14,2)</f>
        <v>BK München 3</v>
      </c>
      <c r="AP23" s="356"/>
      <c r="AQ23" s="355" t="str">
        <f>VLOOKUP(AQ22,Schlüssel!$A$5:$K$14,2)</f>
        <v>BK München 2</v>
      </c>
      <c r="AR23" s="356"/>
      <c r="AS23" s="355" t="str">
        <f>VLOOKUP(AS22,Schlüssel!$A$5:$K$14,2)</f>
        <v>EPA München 1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191</v>
      </c>
      <c r="E25" s="359" t="str">
        <f>IF(AD25=0,"",AD25)</f>
        <v/>
      </c>
      <c r="F25" s="359">
        <f>IF(AE25=301,"",AE25)</f>
        <v>157</v>
      </c>
      <c r="G25" s="359" t="str">
        <f>IF(AF25=0,"",AF25)</f>
        <v/>
      </c>
      <c r="H25" s="359">
        <f>IF(AG25=301,"",AG25)</f>
        <v>185</v>
      </c>
      <c r="I25" s="359" t="str">
        <f>IF(AH25=0,"",AH25)</f>
        <v/>
      </c>
      <c r="J25" s="359">
        <f>IF(AI25=301,"",AI25)</f>
        <v>157</v>
      </c>
      <c r="K25" s="359" t="str">
        <f>IF(AJ25=0,"",AJ25)</f>
        <v/>
      </c>
      <c r="L25" s="359">
        <f>IF(AK25=301,"",AK25)</f>
        <v>186</v>
      </c>
      <c r="M25" s="359" t="str">
        <f>IF(AL25=0,"",AL25)</f>
        <v/>
      </c>
      <c r="N25" s="359">
        <f>IF(AM25=301,"",AM25)</f>
        <v>163</v>
      </c>
      <c r="O25" s="359" t="str">
        <f>IF(AN25=0,"",AN25)</f>
        <v/>
      </c>
      <c r="P25" s="359">
        <f>IF(AO25=301,"",AO25)</f>
        <v>194</v>
      </c>
      <c r="Q25" s="359" t="str">
        <f>IF(AP25=0,"",AP25)</f>
        <v/>
      </c>
      <c r="R25" s="359">
        <f>IF(AQ25=301,"",AQ25)</f>
        <v>184</v>
      </c>
      <c r="S25" s="359" t="str">
        <f>IF(AR25=0,"",AR25)</f>
        <v/>
      </c>
      <c r="T25" s="359">
        <f>IF(AS25=301,"",AS25)</f>
        <v>180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191</v>
      </c>
      <c r="AD25" s="366"/>
      <c r="AE25" s="365">
        <f>ABS(INDEX(AE:AE,MATCH(AE22,$AA:$AA,0)+5)+INDEX(AE:AE,MATCH(AE22,$AA:$AA,0)+6)+INDEX(AE:AE,MATCH(AE22,$AA:$AA,0)+7))</f>
        <v>157</v>
      </c>
      <c r="AF25" s="366"/>
      <c r="AG25" s="365">
        <f>ABS(INDEX(AG:AG,MATCH(AG22,$AA:$AA,0)+5)+INDEX(AG:AG,MATCH(AG22,$AA:$AA,0)+6)+INDEX(AG:AG,MATCH(AG22,$AA:$AA,0)+7))</f>
        <v>185</v>
      </c>
      <c r="AH25" s="366"/>
      <c r="AI25" s="365">
        <f>ABS(INDEX(AI:AI,MATCH(AI22,$AA:$AA,0)+5)+INDEX(AI:AI,MATCH(AI22,$AA:$AA,0)+6)+INDEX(AI:AI,MATCH(AI22,$AA:$AA,0)+7))</f>
        <v>157</v>
      </c>
      <c r="AJ25" s="366"/>
      <c r="AK25" s="365">
        <f>ABS(INDEX(AK:AK,MATCH(AK22,$AA:$AA,0)+5)+INDEX(AK:AK,MATCH(AK22,$AA:$AA,0)+6)+INDEX(AK:AK,MATCH(AK22,$AA:$AA,0)+7))</f>
        <v>186</v>
      </c>
      <c r="AL25" s="366"/>
      <c r="AM25" s="365">
        <f>ABS(INDEX(AM:AM,MATCH(AM22,$AA:$AA,0)+5)+INDEX(AM:AM,MATCH(AM22,$AA:$AA,0)+6)+INDEX(AM:AM,MATCH(AM22,$AA:$AA,0)+7))</f>
        <v>163</v>
      </c>
      <c r="AN25" s="366"/>
      <c r="AO25" s="365">
        <f>ABS(INDEX(AO:AO,MATCH(AO22,$AA:$AA,0)+5)+INDEX(AO:AO,MATCH(AO22,$AA:$AA,0)+6)+INDEX(AO:AO,MATCH(AO22,$AA:$AA,0)+7))</f>
        <v>194</v>
      </c>
      <c r="AP25" s="366"/>
      <c r="AQ25" s="365">
        <f>ABS(INDEX(AQ:AQ,MATCH(AQ22,$AA:$AA,0)+5)+INDEX(AQ:AQ,MATCH(AQ22,$AA:$AA,0)+6)+INDEX(AQ:AQ,MATCH(AQ22,$AA:$AA,0)+7))</f>
        <v>184</v>
      </c>
      <c r="AR25" s="366"/>
      <c r="AS25" s="365">
        <f>ABS(INDEX(AS:AS,MATCH(AS22,$AA:$AA,0)+5)+INDEX(AS:AS,MATCH(AS22,$AA:$AA,0)+6)+INDEX(AS:AS,MATCH(AS22,$AA:$AA,0)+7))</f>
        <v>180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162</v>
      </c>
      <c r="E26" s="359" t="str">
        <f>IF(AD26=0,"",AD26)</f>
        <v/>
      </c>
      <c r="F26" s="359">
        <f>IF(AE26=301,"",AE26)</f>
        <v>186</v>
      </c>
      <c r="G26" s="359" t="str">
        <f>IF(AF26=0,"",AF26)</f>
        <v/>
      </c>
      <c r="H26" s="359">
        <f>IF(AG26=301,"",AG26)</f>
        <v>181</v>
      </c>
      <c r="I26" s="359" t="str">
        <f>IF(AH26=0,"",AH26)</f>
        <v/>
      </c>
      <c r="J26" s="359">
        <f>IF(AI26=301,"",AI26)</f>
        <v>139</v>
      </c>
      <c r="K26" s="359" t="str">
        <f>IF(AJ26=0,"",AJ26)</f>
        <v/>
      </c>
      <c r="L26" s="359">
        <f>IF(AK26=301,"",AK26)</f>
        <v>158</v>
      </c>
      <c r="M26" s="359" t="str">
        <f>IF(AL26=0,"",AL26)</f>
        <v/>
      </c>
      <c r="N26" s="359">
        <f>IF(AM26=301,"",AM26)</f>
        <v>151</v>
      </c>
      <c r="O26" s="359" t="str">
        <f>IF(AN26=0,"",AN26)</f>
        <v/>
      </c>
      <c r="P26" s="359">
        <f>IF(AO26=301,"",AO26)</f>
        <v>177</v>
      </c>
      <c r="Q26" s="359" t="str">
        <f>IF(AP26=0,"",AP26)</f>
        <v/>
      </c>
      <c r="R26" s="359">
        <f>IF(AQ26=301,"",AQ26)</f>
        <v>210</v>
      </c>
      <c r="S26" s="359" t="str">
        <f>IF(AR26=0,"",AR26)</f>
        <v/>
      </c>
      <c r="T26" s="359">
        <f>IF(AS26=301,"",AS26)</f>
        <v>236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162</v>
      </c>
      <c r="AD26" s="364"/>
      <c r="AE26" s="363">
        <f>ABS(INDEX(AE:AE,MATCH(AE22,$AA:$AA,0)+8)+INDEX(AE:AE,MATCH(AE22,$AA:$AA,0)+9)+INDEX(AE:AE,MATCH(AE22,$AA:$AA,0)+10))</f>
        <v>186</v>
      </c>
      <c r="AF26" s="364"/>
      <c r="AG26" s="363">
        <f>ABS(INDEX(AG:AG,MATCH(AG22,$AA:$AA,0)+8)+INDEX(AG:AG,MATCH(AG22,$AA:$AA,0)+9)+INDEX(AG:AG,MATCH(AG22,$AA:$AA,0)+10))</f>
        <v>181</v>
      </c>
      <c r="AH26" s="364"/>
      <c r="AI26" s="363">
        <f>ABS(INDEX(AI:AI,MATCH(AI22,$AA:$AA,0)+8)+INDEX(AI:AI,MATCH(AI22,$AA:$AA,0)+9)+INDEX(AI:AI,MATCH(AI22,$AA:$AA,0)+10))</f>
        <v>139</v>
      </c>
      <c r="AJ26" s="364"/>
      <c r="AK26" s="363">
        <f>ABS(INDEX(AK:AK,MATCH(AK22,$AA:$AA,0)+8)+INDEX(AK:AK,MATCH(AK22,$AA:$AA,0)+9)+INDEX(AK:AK,MATCH(AK22,$AA:$AA,0)+10))</f>
        <v>158</v>
      </c>
      <c r="AL26" s="364"/>
      <c r="AM26" s="363">
        <f>ABS(INDEX(AM:AM,MATCH(AM22,$AA:$AA,0)+8)+INDEX(AM:AM,MATCH(AM22,$AA:$AA,0)+9)+INDEX(AM:AM,MATCH(AM22,$AA:$AA,0)+10))</f>
        <v>151</v>
      </c>
      <c r="AN26" s="364"/>
      <c r="AO26" s="363">
        <f>ABS(INDEX(AO:AO,MATCH(AO22,$AA:$AA,0)+8)+INDEX(AO:AO,MATCH(AO22,$AA:$AA,0)+9)+INDEX(AO:AO,MATCH(AO22,$AA:$AA,0)+10))</f>
        <v>177</v>
      </c>
      <c r="AP26" s="364"/>
      <c r="AQ26" s="363">
        <f>ABS(INDEX(AQ:AQ,MATCH(AQ22,$AA:$AA,0)+8)+INDEX(AQ:AQ,MATCH(AQ22,$AA:$AA,0)+9)+INDEX(AQ:AQ,MATCH(AQ22,$AA:$AA,0)+10))</f>
        <v>210</v>
      </c>
      <c r="AR26" s="364"/>
      <c r="AS26" s="363">
        <f>ABS(INDEX(AS:AS,MATCH(AS22,$AA:$AA,0)+8)+INDEX(AS:AS,MATCH(AS22,$AA:$AA,0)+9)+INDEX(AS:AS,MATCH(AS22,$AA:$AA,0)+10))</f>
        <v>236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235</v>
      </c>
      <c r="E27" s="359" t="str">
        <f>IF(AD27=0,"",AD27)</f>
        <v/>
      </c>
      <c r="F27" s="359">
        <f>IF(AE27=301,"",AE27)</f>
        <v>149</v>
      </c>
      <c r="G27" s="359" t="str">
        <f>IF(AF27=0,"",AF27)</f>
        <v/>
      </c>
      <c r="H27" s="359">
        <f>IF(AG27=301,"",AG27)</f>
        <v>196</v>
      </c>
      <c r="I27" s="359" t="str">
        <f>IF(AH27=0,"",AH27)</f>
        <v/>
      </c>
      <c r="J27" s="359">
        <f>IF(AI27=301,"",AI27)</f>
        <v>161</v>
      </c>
      <c r="K27" s="359" t="str">
        <f>IF(AJ27=0,"",AJ27)</f>
        <v/>
      </c>
      <c r="L27" s="359">
        <f>IF(AK27=301,"",AK27)</f>
        <v>170</v>
      </c>
      <c r="M27" s="359" t="str">
        <f>IF(AL27=0,"",AL27)</f>
        <v/>
      </c>
      <c r="N27" s="359">
        <f>IF(AM27=301,"",AM27)</f>
        <v>189</v>
      </c>
      <c r="O27" s="359" t="str">
        <f>IF(AN27=0,"",AN27)</f>
        <v/>
      </c>
      <c r="P27" s="359">
        <f>IF(AO27=301,"",AO27)</f>
        <v>152</v>
      </c>
      <c r="Q27" s="359" t="str">
        <f>IF(AP27=0,"",AP27)</f>
        <v/>
      </c>
      <c r="R27" s="359">
        <f>IF(AQ27=301,"",AQ27)</f>
        <v>183</v>
      </c>
      <c r="S27" s="359" t="str">
        <f>IF(AR27=0,"",AR27)</f>
        <v/>
      </c>
      <c r="T27" s="359">
        <f>IF(AS27=301,"",AS27)</f>
        <v>172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235</v>
      </c>
      <c r="AD27" s="364"/>
      <c r="AE27" s="363">
        <f>ABS(INDEX(AE:AE,MATCH(AE22,$AA:$AA,0)+11)+INDEX(AE:AE,MATCH(AE22,$AA:$AA,0)+12)+INDEX(AE:AE,MATCH(AE22,$AA:$AA,0)+13))</f>
        <v>149</v>
      </c>
      <c r="AF27" s="364"/>
      <c r="AG27" s="363">
        <f>ABS(INDEX(AG:AG,MATCH(AG22,$AA:$AA,0)+11)+INDEX(AG:AG,MATCH(AG22,$AA:$AA,0)+12)+INDEX(AG:AG,MATCH(AG22,$AA:$AA,0)+13))</f>
        <v>196</v>
      </c>
      <c r="AH27" s="364"/>
      <c r="AI27" s="363">
        <f>ABS(INDEX(AI:AI,MATCH(AI22,$AA:$AA,0)+11)+INDEX(AI:AI,MATCH(AI22,$AA:$AA,0)+12)+INDEX(AI:AI,MATCH(AI22,$AA:$AA,0)+13))</f>
        <v>161</v>
      </c>
      <c r="AJ27" s="364"/>
      <c r="AK27" s="363">
        <f>ABS(INDEX(AK:AK,MATCH(AK22,$AA:$AA,0)+11)+INDEX(AK:AK,MATCH(AK22,$AA:$AA,0)+12)+INDEX(AK:AK,MATCH(AK22,$AA:$AA,0)+13))</f>
        <v>170</v>
      </c>
      <c r="AL27" s="364"/>
      <c r="AM27" s="363">
        <f>ABS(INDEX(AM:AM,MATCH(AM22,$AA:$AA,0)+11)+INDEX(AM:AM,MATCH(AM22,$AA:$AA,0)+12)+INDEX(AM:AM,MATCH(AM22,$AA:$AA,0)+13))</f>
        <v>189</v>
      </c>
      <c r="AN27" s="364"/>
      <c r="AO27" s="363">
        <f>ABS(INDEX(AO:AO,MATCH(AO22,$AA:$AA,0)+11)+INDEX(AO:AO,MATCH(AO22,$AA:$AA,0)+12)+INDEX(AO:AO,MATCH(AO22,$AA:$AA,0)+13))</f>
        <v>152</v>
      </c>
      <c r="AP27" s="364"/>
      <c r="AQ27" s="363">
        <f>ABS(INDEX(AQ:AQ,MATCH(AQ22,$AA:$AA,0)+11)+INDEX(AQ:AQ,MATCH(AQ22,$AA:$AA,0)+12)+INDEX(AQ:AQ,MATCH(AQ22,$AA:$AA,0)+13))</f>
        <v>183</v>
      </c>
      <c r="AR27" s="364"/>
      <c r="AS27" s="363">
        <f>ABS(INDEX(AS:AS,MATCH(AS22,$AA:$AA,0)+11)+INDEX(AS:AS,MATCH(AS22,$AA:$AA,0)+12)+INDEX(AS:AS,MATCH(AS22,$AA:$AA,0)+13))</f>
        <v>172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191</v>
      </c>
      <c r="E28" s="359" t="str">
        <f>IF(AD28=0,"",AD28)</f>
        <v/>
      </c>
      <c r="F28" s="359">
        <f>IF(AE28=301,"",AE28)</f>
        <v>147</v>
      </c>
      <c r="G28" s="359" t="str">
        <f>IF(AF28=0,"",AF28)</f>
        <v/>
      </c>
      <c r="H28" s="359">
        <f>IF(AG28=301,"",AG28)</f>
        <v>185</v>
      </c>
      <c r="I28" s="359" t="str">
        <f>IF(AH28=0,"",AH28)</f>
        <v/>
      </c>
      <c r="J28" s="359">
        <f>IF(AI28=301,"",AI28)</f>
        <v>177</v>
      </c>
      <c r="K28" s="359" t="str">
        <f>IF(AJ28=0,"",AJ28)</f>
        <v/>
      </c>
      <c r="L28" s="359">
        <f>IF(AK28=301,"",AK28)</f>
        <v>160</v>
      </c>
      <c r="M28" s="359" t="str">
        <f>IF(AL28=0,"",AL28)</f>
        <v/>
      </c>
      <c r="N28" s="359">
        <f>IF(AM28=301,"",AM28)</f>
        <v>161</v>
      </c>
      <c r="O28" s="359" t="str">
        <f>IF(AN28=0,"",AN28)</f>
        <v/>
      </c>
      <c r="P28" s="359">
        <f>IF(AO28=301,"",AO28)</f>
        <v>179</v>
      </c>
      <c r="Q28" s="359" t="str">
        <f>IF(AP28=0,"",AP28)</f>
        <v/>
      </c>
      <c r="R28" s="359">
        <f>IF(AQ28=301,"",AQ28)</f>
        <v>235</v>
      </c>
      <c r="S28" s="359" t="str">
        <f>IF(AR28=0,"",AR28)</f>
        <v/>
      </c>
      <c r="T28" s="359">
        <f>IF(AS28=301,"",AS28)</f>
        <v>179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191</v>
      </c>
      <c r="AD28" s="364"/>
      <c r="AE28" s="363">
        <f>ABS(INDEX(AE:AE,MATCH(AE22,$AA:$AA,0)+14)+INDEX(AE:AE,MATCH(AE22,$AA:$AA,0)+15)+INDEX(AE:AE,MATCH(AE22,$AA:$AA,0)+16))</f>
        <v>147</v>
      </c>
      <c r="AF28" s="364"/>
      <c r="AG28" s="363">
        <f>ABS(INDEX(AG:AG,MATCH(AG22,$AA:$AA,0)+14)+INDEX(AG:AG,MATCH(AG22,$AA:$AA,0)+15)+INDEX(AG:AG,MATCH(AG22,$AA:$AA,0)+16))</f>
        <v>185</v>
      </c>
      <c r="AH28" s="364"/>
      <c r="AI28" s="363">
        <f>ABS(INDEX(AI:AI,MATCH(AI22,$AA:$AA,0)+14)+INDEX(AI:AI,MATCH(AI22,$AA:$AA,0)+15)+INDEX(AI:AI,MATCH(AI22,$AA:$AA,0)+16))</f>
        <v>177</v>
      </c>
      <c r="AJ28" s="364"/>
      <c r="AK28" s="363">
        <f>ABS(INDEX(AK:AK,MATCH(AK22,$AA:$AA,0)+14)+INDEX(AK:AK,MATCH(AK22,$AA:$AA,0)+15)+INDEX(AK:AK,MATCH(AK22,$AA:$AA,0)+16))</f>
        <v>160</v>
      </c>
      <c r="AL28" s="364"/>
      <c r="AM28" s="363">
        <f>ABS(INDEX(AM:AM,MATCH(AM22,$AA:$AA,0)+14)+INDEX(AM:AM,MATCH(AM22,$AA:$AA,0)+15)+INDEX(AM:AM,MATCH(AM22,$AA:$AA,0)+16))</f>
        <v>161</v>
      </c>
      <c r="AN28" s="364"/>
      <c r="AO28" s="363">
        <f>ABS(INDEX(AO:AO,MATCH(AO22,$AA:$AA,0)+14)+INDEX(AO:AO,MATCH(AO22,$AA:$AA,0)+15)+INDEX(AO:AO,MATCH(AO22,$AA:$AA,0)+16))</f>
        <v>179</v>
      </c>
      <c r="AP28" s="364"/>
      <c r="AQ28" s="363">
        <f>ABS(INDEX(AQ:AQ,MATCH(AQ22,$AA:$AA,0)+14)+INDEX(AQ:AQ,MATCH(AQ22,$AA:$AA,0)+15)+INDEX(AQ:AQ,MATCH(AQ22,$AA:$AA,0)+16))</f>
        <v>235</v>
      </c>
      <c r="AR28" s="364"/>
      <c r="AS28" s="363">
        <f>ABS(INDEX(AS:AS,MATCH(AS22,$AA:$AA,0)+14)+INDEX(AS:AS,MATCH(AS22,$AA:$AA,0)+15)+INDEX(AS:AS,MATCH(AS22,$AA:$AA,0)+16))</f>
        <v>179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779</v>
      </c>
      <c r="E29" s="362" t="str">
        <f>IF(AD29=0,"",AD29)</f>
        <v/>
      </c>
      <c r="F29" s="362">
        <f>IF(AE29=1505,"",AE29)</f>
        <v>639</v>
      </c>
      <c r="G29" s="362" t="str">
        <f>IF(AF29=0,"",AF29)</f>
        <v/>
      </c>
      <c r="H29" s="362">
        <f>IF(AG29=1505,"",AG29)</f>
        <v>747</v>
      </c>
      <c r="I29" s="362" t="str">
        <f>IF(AH29=0,"",AH29)</f>
        <v/>
      </c>
      <c r="J29" s="362">
        <f>IF(AI29=1505,"",AI29)</f>
        <v>634</v>
      </c>
      <c r="K29" s="362" t="str">
        <f>IF(AJ29=0,"",AJ29)</f>
        <v/>
      </c>
      <c r="L29" s="362">
        <f>IF(AK29=1505,"",AK29)</f>
        <v>674</v>
      </c>
      <c r="M29" s="362" t="str">
        <f>IF(AL29=0,"",AL29)</f>
        <v/>
      </c>
      <c r="N29" s="362">
        <f>IF(AM29=1505,"",AM29)</f>
        <v>664</v>
      </c>
      <c r="O29" s="362" t="str">
        <f>IF(AN29=0,"",AN29)</f>
        <v/>
      </c>
      <c r="P29" s="362">
        <f>IF(AO29=1505,"",AO29)</f>
        <v>702</v>
      </c>
      <c r="Q29" s="362" t="str">
        <f>IF(AP29=0,"",AP29)</f>
        <v/>
      </c>
      <c r="R29" s="362">
        <f>IF(AQ29=1505,"",AQ29)</f>
        <v>812</v>
      </c>
      <c r="S29" s="362" t="str">
        <f>IF(AR29=0,"",AR29)</f>
        <v/>
      </c>
      <c r="T29" s="362">
        <f>IF(AS29=1505,"",AS29)</f>
        <v>767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779</v>
      </c>
      <c r="AD29" s="344"/>
      <c r="AE29" s="343">
        <f>SUM(AE25:AE28)</f>
        <v>639</v>
      </c>
      <c r="AF29" s="344"/>
      <c r="AG29" s="343">
        <f>SUM(AG25:AG28)</f>
        <v>747</v>
      </c>
      <c r="AH29" s="344"/>
      <c r="AI29" s="343">
        <f>SUM(AI25:AI28)</f>
        <v>634</v>
      </c>
      <c r="AJ29" s="344"/>
      <c r="AK29" s="343">
        <f>SUM(AK25:AK28)</f>
        <v>674</v>
      </c>
      <c r="AL29" s="344"/>
      <c r="AM29" s="343">
        <f>SUM(AM25:AM28)</f>
        <v>664</v>
      </c>
      <c r="AN29" s="344"/>
      <c r="AO29" s="343">
        <f>SUM(AO25:AO28)</f>
        <v>702</v>
      </c>
      <c r="AP29" s="344"/>
      <c r="AQ29" s="343">
        <f>SUM(AQ25:AQ28)</f>
        <v>812</v>
      </c>
      <c r="AR29" s="344"/>
      <c r="AS29" s="343">
        <f>SUM(AS25:AS28)</f>
        <v>767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12.10./13.10.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12.10./13.10.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5">
        <f>IF(AD37="","",AD37)</f>
        <v>0</v>
      </c>
      <c r="F37" s="75">
        <f t="shared" ref="F37:F50" si="35">IF(AE37=0,"",AE37)</f>
        <v>167</v>
      </c>
      <c r="G37" s="345">
        <f>IF(AF37="","",AF37)</f>
        <v>1</v>
      </c>
      <c r="H37" s="75">
        <f t="shared" ref="H37:H50" si="36">IF(AG37=0,"",AG37)</f>
        <v>201</v>
      </c>
      <c r="I37" s="345">
        <f>IF(AH37="","",AH37)</f>
        <v>1</v>
      </c>
      <c r="J37" s="75">
        <f t="shared" ref="J37:J50" si="37">IF(AI37=0,"",AI37)</f>
        <v>222</v>
      </c>
      <c r="K37" s="345">
        <f>IF(AJ37="","",AJ37)</f>
        <v>1</v>
      </c>
      <c r="L37" s="75">
        <f t="shared" ref="L37:L50" si="38">IF(AK37=0,"",AK37)</f>
        <v>196</v>
      </c>
      <c r="M37" s="345">
        <f>IF(AL37="","",AL37)</f>
        <v>0</v>
      </c>
      <c r="N37" s="75">
        <f>IF(AM37=0,"",AM37)</f>
        <v>269</v>
      </c>
      <c r="O37" s="345">
        <f>IF(AN37="","",AN37)</f>
        <v>1</v>
      </c>
      <c r="P37" s="75">
        <f t="shared" ref="P37:P50" si="39">IF(AO37=0,"",AO37)</f>
        <v>237</v>
      </c>
      <c r="Q37" s="345">
        <f>IF(AP37="","",AP37)</f>
        <v>1</v>
      </c>
      <c r="R37" s="75">
        <f t="shared" ref="R37:R50" si="40">IF(AQ37=0,"",AQ37)</f>
        <v>184</v>
      </c>
      <c r="S37" s="345">
        <f>IF(AR37="","",AR37)</f>
        <v>1</v>
      </c>
      <c r="T37" s="75">
        <f t="shared" ref="T37:T50" si="41">IF(AS37=0,"",AS37)</f>
        <v>223</v>
      </c>
      <c r="U37" s="345">
        <f>IF(AT37="","",AT37)</f>
        <v>1</v>
      </c>
      <c r="V37" s="75">
        <f t="shared" ref="V37:V50" si="42">IF(AU37=0,"",AU37)</f>
        <v>1898</v>
      </c>
      <c r="W37" s="345">
        <f>IF(AV37="","",AV37)</f>
        <v>7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74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7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5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7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3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5">
        <f>IF(AD40="","",AD40)</f>
        <v>0</v>
      </c>
      <c r="F40" s="75">
        <f t="shared" si="35"/>
        <v>166</v>
      </c>
      <c r="G40" s="345">
        <f>IF(AF40="","",AF40)</f>
        <v>1</v>
      </c>
      <c r="H40" s="75">
        <f t="shared" si="36"/>
        <v>181</v>
      </c>
      <c r="I40" s="345">
        <f>IF(AH40="","",AH40)</f>
        <v>0</v>
      </c>
      <c r="J40" s="75">
        <f t="shared" si="37"/>
        <v>132</v>
      </c>
      <c r="K40" s="345">
        <f>IF(AJ40="","",AJ40)</f>
        <v>0.5</v>
      </c>
      <c r="L40" s="75">
        <f t="shared" si="38"/>
        <v>175</v>
      </c>
      <c r="M40" s="345">
        <f>IF(AL40="","",AL40)</f>
        <v>0</v>
      </c>
      <c r="N40" s="75">
        <f t="shared" si="57"/>
        <v>160</v>
      </c>
      <c r="O40" s="345">
        <f>IF(AN40="","",AN40)</f>
        <v>0</v>
      </c>
      <c r="P40" s="75">
        <f t="shared" si="39"/>
        <v>155</v>
      </c>
      <c r="Q40" s="345">
        <f>IF(AP40="","",AP40)</f>
        <v>1</v>
      </c>
      <c r="R40" s="75">
        <f t="shared" si="40"/>
        <v>210</v>
      </c>
      <c r="S40" s="345">
        <f>IF(AR40="","",AR40)</f>
        <v>1</v>
      </c>
      <c r="T40" s="75">
        <f t="shared" si="41"/>
        <v>154</v>
      </c>
      <c r="U40" s="345">
        <f>IF(AT40="","",AT40)</f>
        <v>0</v>
      </c>
      <c r="V40" s="75">
        <f t="shared" si="42"/>
        <v>1479</v>
      </c>
      <c r="W40" s="345">
        <f>IF(AV40="","",AV40)</f>
        <v>3.5</v>
      </c>
      <c r="Z40" s="348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4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7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5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7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3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5">
        <f>IF(AD43="","",AD43)</f>
        <v>0</v>
      </c>
      <c r="F43" s="75">
        <f t="shared" si="35"/>
        <v>157</v>
      </c>
      <c r="G43" s="345">
        <f>IF(AF43="","",AF43)</f>
        <v>0</v>
      </c>
      <c r="H43" s="75">
        <f t="shared" si="36"/>
        <v>162</v>
      </c>
      <c r="I43" s="345">
        <f>IF(AH43="","",AH43)</f>
        <v>0</v>
      </c>
      <c r="J43" s="75">
        <f t="shared" si="37"/>
        <v>134</v>
      </c>
      <c r="K43" s="345">
        <f>IF(AJ43="","",AJ43)</f>
        <v>0</v>
      </c>
      <c r="L43" s="75">
        <f t="shared" si="38"/>
        <v>213</v>
      </c>
      <c r="M43" s="345">
        <f>IF(AL43="","",AL43)</f>
        <v>0</v>
      </c>
      <c r="N43" s="75">
        <f t="shared" si="57"/>
        <v>235</v>
      </c>
      <c r="O43" s="345">
        <f>IF(AN43="","",AN43)</f>
        <v>1</v>
      </c>
      <c r="P43" s="75">
        <f t="shared" si="39"/>
        <v>182</v>
      </c>
      <c r="Q43" s="345">
        <f>IF(AP43="","",AP43)</f>
        <v>0</v>
      </c>
      <c r="R43" s="75">
        <f t="shared" si="40"/>
        <v>183</v>
      </c>
      <c r="S43" s="345">
        <f>IF(AR43="","",AR43)</f>
        <v>1</v>
      </c>
      <c r="T43" s="75">
        <f t="shared" si="41"/>
        <v>176</v>
      </c>
      <c r="U43" s="345">
        <f>IF(AT43="","",AT43)</f>
        <v>0</v>
      </c>
      <c r="V43" s="75">
        <f t="shared" si="42"/>
        <v>1585</v>
      </c>
      <c r="W43" s="345">
        <f>IF(AV43="","",AV43)</f>
        <v>2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0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2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4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7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5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7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3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5">
        <f>IF(AD46="","",AD46)</f>
        <v>0</v>
      </c>
      <c r="F46" s="75">
        <f t="shared" si="35"/>
        <v>159</v>
      </c>
      <c r="G46" s="345">
        <f>IF(AF46="","",AF46)</f>
        <v>1</v>
      </c>
      <c r="H46" s="75">
        <f t="shared" si="36"/>
        <v>147</v>
      </c>
      <c r="I46" s="345">
        <f>IF(AH46="","",AH46)</f>
        <v>0</v>
      </c>
      <c r="J46" s="75">
        <f t="shared" si="37"/>
        <v>180</v>
      </c>
      <c r="K46" s="345">
        <f>IF(AJ46="","",AJ46)</f>
        <v>1</v>
      </c>
      <c r="L46" s="75">
        <f t="shared" si="38"/>
        <v>179</v>
      </c>
      <c r="M46" s="345">
        <f>IF(AL46="","",AL46)</f>
        <v>0</v>
      </c>
      <c r="N46" s="75">
        <f t="shared" si="57"/>
        <v>183</v>
      </c>
      <c r="O46" s="345">
        <f>IF(AN46="","",AN46)</f>
        <v>1</v>
      </c>
      <c r="P46" s="75">
        <f t="shared" si="39"/>
        <v>211</v>
      </c>
      <c r="Q46" s="345">
        <f>IF(AP46="","",AP46)</f>
        <v>1</v>
      </c>
      <c r="R46" s="75">
        <f t="shared" si="40"/>
        <v>235</v>
      </c>
      <c r="S46" s="345">
        <f>IF(AR46="","",AR46)</f>
        <v>1</v>
      </c>
      <c r="T46" s="75">
        <f t="shared" si="41"/>
        <v>182</v>
      </c>
      <c r="U46" s="345">
        <f>IF(AT46="","",AT46)</f>
        <v>1</v>
      </c>
      <c r="V46" s="75">
        <f t="shared" si="42"/>
        <v>1647</v>
      </c>
      <c r="W46" s="345">
        <f>IF(AV46="","",AV46)</f>
        <v>6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4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7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5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7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30.5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5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30.5</v>
      </c>
      <c r="AW50" s="101"/>
      <c r="AX50" s="102"/>
      <c r="BA50" s="212">
        <f>+AV50</f>
        <v>30.5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30.506609000000001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3">
        <f t="shared" ref="D52:M54" si="70">IF(AC52=0,"",AC52)</f>
        <v>6</v>
      </c>
      <c r="E52" s="353" t="str">
        <f t="shared" si="70"/>
        <v/>
      </c>
      <c r="F52" s="353">
        <f t="shared" si="70"/>
        <v>4</v>
      </c>
      <c r="G52" s="353" t="str">
        <f t="shared" si="70"/>
        <v/>
      </c>
      <c r="H52" s="353">
        <f t="shared" si="70"/>
        <v>8</v>
      </c>
      <c r="I52" s="353" t="str">
        <f t="shared" si="70"/>
        <v/>
      </c>
      <c r="J52" s="353">
        <f t="shared" si="70"/>
        <v>7</v>
      </c>
      <c r="K52" s="353" t="str">
        <f t="shared" si="70"/>
        <v/>
      </c>
      <c r="L52" s="353">
        <f t="shared" si="70"/>
        <v>3</v>
      </c>
      <c r="M52" s="353" t="str">
        <f t="shared" si="70"/>
        <v/>
      </c>
      <c r="N52" s="353">
        <f t="shared" ref="N52:U54" si="71">IF(AM52=0,"",AM52)</f>
        <v>5</v>
      </c>
      <c r="O52" s="353" t="str">
        <f t="shared" si="71"/>
        <v/>
      </c>
      <c r="P52" s="353">
        <f t="shared" si="71"/>
        <v>10</v>
      </c>
      <c r="Q52" s="353" t="str">
        <f t="shared" si="71"/>
        <v/>
      </c>
      <c r="R52" s="353">
        <f t="shared" si="71"/>
        <v>1</v>
      </c>
      <c r="S52" s="353" t="str">
        <f t="shared" si="71"/>
        <v/>
      </c>
      <c r="T52" s="353">
        <f t="shared" si="71"/>
        <v>9</v>
      </c>
      <c r="U52" s="353" t="str">
        <f t="shared" si="71"/>
        <v/>
      </c>
      <c r="V52" s="354"/>
      <c r="W52" s="354"/>
      <c r="AA52" s="88" t="s">
        <v>1797</v>
      </c>
      <c r="AB52" s="89" t="s">
        <v>1798</v>
      </c>
      <c r="AC52" s="367">
        <f>VLOOKUP($AA32,Schlüssel!$A$5:$K$14,3)</f>
        <v>6</v>
      </c>
      <c r="AD52" s="368"/>
      <c r="AE52" s="367">
        <f>VLOOKUP($AA32,Schlüssel!$A$5:$K$14,4)</f>
        <v>4</v>
      </c>
      <c r="AF52" s="368"/>
      <c r="AG52" s="367">
        <f>VLOOKUP($AA32,Schlüssel!$A$5:$K$14,5)</f>
        <v>8</v>
      </c>
      <c r="AH52" s="368"/>
      <c r="AI52" s="367">
        <f>VLOOKUP($AA32,Schlüssel!$A$5:$K$14,6)</f>
        <v>7</v>
      </c>
      <c r="AJ52" s="368"/>
      <c r="AK52" s="367">
        <f>VLOOKUP($AA32,Schlüssel!$A$5:$K$14,7)</f>
        <v>3</v>
      </c>
      <c r="AL52" s="368"/>
      <c r="AM52" s="367">
        <f>VLOOKUP($AA32,Schlüssel!$A$5:$K$14,8)</f>
        <v>5</v>
      </c>
      <c r="AN52" s="368"/>
      <c r="AO52" s="367">
        <f>VLOOKUP($AA32,Schlüssel!$A$5:$K$14,9)</f>
        <v>10</v>
      </c>
      <c r="AP52" s="368"/>
      <c r="AQ52" s="367">
        <f>VLOOKUP($AA32,Schlüssel!$A$5:$K$14,10)</f>
        <v>1</v>
      </c>
      <c r="AR52" s="368"/>
      <c r="AS52" s="367">
        <f>VLOOKUP($AA32,Schlüssel!$A$5:$K$14,11)</f>
        <v>9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5" t="str">
        <f t="shared" si="70"/>
        <v>Phönix 03 Lauf</v>
      </c>
      <c r="E53" s="356" t="str">
        <f t="shared" si="70"/>
        <v/>
      </c>
      <c r="F53" s="355" t="str">
        <f t="shared" si="70"/>
        <v>BK München 3</v>
      </c>
      <c r="G53" s="356" t="str">
        <f t="shared" si="70"/>
        <v/>
      </c>
      <c r="H53" s="355" t="str">
        <f t="shared" si="70"/>
        <v>EPA München 1</v>
      </c>
      <c r="I53" s="356" t="str">
        <f t="shared" si="70"/>
        <v/>
      </c>
      <c r="J53" s="355" t="str">
        <f t="shared" si="70"/>
        <v>Frankenpower Nürnberg</v>
      </c>
      <c r="K53" s="356" t="str">
        <f t="shared" si="70"/>
        <v/>
      </c>
      <c r="L53" s="355" t="str">
        <f t="shared" si="70"/>
        <v>Highroller Rosenheim</v>
      </c>
      <c r="M53" s="356" t="str">
        <f t="shared" si="70"/>
        <v/>
      </c>
      <c r="N53" s="355" t="str">
        <f t="shared" si="71"/>
        <v xml:space="preserve">Weiß Blau Unterföhring </v>
      </c>
      <c r="O53" s="356" t="str">
        <f t="shared" si="71"/>
        <v/>
      </c>
      <c r="P53" s="355" t="str">
        <f t="shared" si="71"/>
        <v>BK München 4</v>
      </c>
      <c r="Q53" s="356" t="str">
        <f t="shared" si="71"/>
        <v/>
      </c>
      <c r="R53" s="355" t="str">
        <f t="shared" si="71"/>
        <v>Praetoria Regensburg</v>
      </c>
      <c r="S53" s="356" t="str">
        <f t="shared" si="71"/>
        <v/>
      </c>
      <c r="T53" s="355" t="str">
        <f t="shared" si="71"/>
        <v>RW Lichtenhof 69 Stein 2</v>
      </c>
      <c r="U53" s="356" t="str">
        <f t="shared" si="71"/>
        <v/>
      </c>
      <c r="V53" s="360"/>
      <c r="W53" s="360"/>
      <c r="AA53" s="90"/>
      <c r="AB53" s="86"/>
      <c r="AC53" s="355" t="str">
        <f>VLOOKUP(AC52,Schlüssel!$A$5:$K$14,2)</f>
        <v>Phönix 03 Lauf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 xml:space="preserve">Weiß Blau Unterföhring </v>
      </c>
      <c r="AN53" s="356"/>
      <c r="AO53" s="355" t="str">
        <f>VLOOKUP(AO52,Schlüssel!$A$5:$K$14,2)</f>
        <v>BK München 4</v>
      </c>
      <c r="AP53" s="356"/>
      <c r="AQ53" s="355" t="str">
        <f>VLOOKUP(AQ52,Schlüssel!$A$5:$K$14,2)</f>
        <v>Praetoria Regensburg</v>
      </c>
      <c r="AR53" s="356"/>
      <c r="AS53" s="355" t="str">
        <f>VLOOKUP(AS52,Schlüssel!$A$5:$K$14,2)</f>
        <v>RW Lichtenhof 69 Stein 2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7" t="str">
        <f t="shared" si="70"/>
        <v/>
      </c>
      <c r="E54" s="357" t="str">
        <f t="shared" si="70"/>
        <v/>
      </c>
      <c r="F54" s="357" t="str">
        <f t="shared" si="70"/>
        <v/>
      </c>
      <c r="G54" s="357" t="str">
        <f t="shared" si="70"/>
        <v/>
      </c>
      <c r="H54" s="357" t="str">
        <f t="shared" si="70"/>
        <v/>
      </c>
      <c r="I54" s="357" t="str">
        <f t="shared" si="70"/>
        <v/>
      </c>
      <c r="J54" s="357" t="str">
        <f t="shared" si="70"/>
        <v/>
      </c>
      <c r="K54" s="357" t="str">
        <f t="shared" si="70"/>
        <v/>
      </c>
      <c r="L54" s="357" t="str">
        <f t="shared" si="70"/>
        <v/>
      </c>
      <c r="M54" s="357" t="str">
        <f t="shared" si="70"/>
        <v/>
      </c>
      <c r="N54" s="357" t="str">
        <f t="shared" si="71"/>
        <v/>
      </c>
      <c r="O54" s="357" t="str">
        <f t="shared" si="71"/>
        <v/>
      </c>
      <c r="P54" s="357" t="str">
        <f t="shared" si="71"/>
        <v/>
      </c>
      <c r="Q54" s="357" t="str">
        <f t="shared" si="71"/>
        <v/>
      </c>
      <c r="R54" s="357" t="str">
        <f t="shared" si="71"/>
        <v/>
      </c>
      <c r="S54" s="357" t="str">
        <f t="shared" si="71"/>
        <v/>
      </c>
      <c r="T54" s="357" t="str">
        <f t="shared" si="71"/>
        <v/>
      </c>
      <c r="U54" s="358" t="str">
        <f t="shared" si="71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si="68"/>
        <v>Spieler 1</v>
      </c>
      <c r="C55" s="372" t="str">
        <f t="shared" si="69"/>
        <v/>
      </c>
      <c r="D55" s="359">
        <f>IF(AC55=301,"",AC55)</f>
        <v>214</v>
      </c>
      <c r="E55" s="359" t="str">
        <f>IF(AD55=0,"",AD55)</f>
        <v/>
      </c>
      <c r="F55" s="359">
        <f>IF(AE55=301,"",AE55)</f>
        <v>156</v>
      </c>
      <c r="G55" s="359" t="str">
        <f>IF(AF55=0,"",AF55)</f>
        <v/>
      </c>
      <c r="H55" s="359">
        <f>IF(AG55=301,"",AG55)</f>
        <v>157</v>
      </c>
      <c r="I55" s="359" t="str">
        <f>IF(AH55=0,"",AH55)</f>
        <v/>
      </c>
      <c r="J55" s="359">
        <f>IF(AI55=301,"",AI55)</f>
        <v>165</v>
      </c>
      <c r="K55" s="359" t="str">
        <f>IF(AJ55=0,"",AJ55)</f>
        <v/>
      </c>
      <c r="L55" s="359">
        <f>IF(AK55=301,"",AK55)</f>
        <v>213</v>
      </c>
      <c r="M55" s="359" t="str">
        <f>IF(AL55=0,"",AL55)</f>
        <v/>
      </c>
      <c r="N55" s="359">
        <f>IF(AM55=301,"",AM55)</f>
        <v>204</v>
      </c>
      <c r="O55" s="359" t="str">
        <f>IF(AN55=0,"",AN55)</f>
        <v/>
      </c>
      <c r="P55" s="359">
        <f>IF(AO55=301,"",AO55)</f>
        <v>194</v>
      </c>
      <c r="Q55" s="359" t="str">
        <f>IF(AP55=0,"",AP55)</f>
        <v/>
      </c>
      <c r="R55" s="359">
        <f>IF(AQ55=301,"",AQ55)</f>
        <v>174</v>
      </c>
      <c r="S55" s="359" t="str">
        <f>IF(AR55=0,"",AR55)</f>
        <v/>
      </c>
      <c r="T55" s="359">
        <f>IF(AS55=301,"",AS55)</f>
        <v>184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214</v>
      </c>
      <c r="AD55" s="366"/>
      <c r="AE55" s="365">
        <f>ABS(INDEX(AE:AE,MATCH(AE52,$AA:$AA,0)+5)+INDEX(AE:AE,MATCH(AE52,$AA:$AA,0)+6)+INDEX(AE:AE,MATCH(AE52,$AA:$AA,0)+7))</f>
        <v>156</v>
      </c>
      <c r="AF55" s="366"/>
      <c r="AG55" s="365">
        <f>ABS(INDEX(AG:AG,MATCH(AG52,$AA:$AA,0)+5)+INDEX(AG:AG,MATCH(AG52,$AA:$AA,0)+6)+INDEX(AG:AG,MATCH(AG52,$AA:$AA,0)+7))</f>
        <v>157</v>
      </c>
      <c r="AH55" s="366"/>
      <c r="AI55" s="365">
        <f>ABS(INDEX(AI:AI,MATCH(AI52,$AA:$AA,0)+5)+INDEX(AI:AI,MATCH(AI52,$AA:$AA,0)+6)+INDEX(AI:AI,MATCH(AI52,$AA:$AA,0)+7))</f>
        <v>165</v>
      </c>
      <c r="AJ55" s="366"/>
      <c r="AK55" s="365">
        <f>ABS(INDEX(AK:AK,MATCH(AK52,$AA:$AA,0)+5)+INDEX(AK:AK,MATCH(AK52,$AA:$AA,0)+6)+INDEX(AK:AK,MATCH(AK52,$AA:$AA,0)+7))</f>
        <v>213</v>
      </c>
      <c r="AL55" s="366"/>
      <c r="AM55" s="365">
        <f>ABS(INDEX(AM:AM,MATCH(AM52,$AA:$AA,0)+5)+INDEX(AM:AM,MATCH(AM52,$AA:$AA,0)+6)+INDEX(AM:AM,MATCH(AM52,$AA:$AA,0)+7))</f>
        <v>204</v>
      </c>
      <c r="AN55" s="366"/>
      <c r="AO55" s="365">
        <f>ABS(INDEX(AO:AO,MATCH(AO52,$AA:$AA,0)+5)+INDEX(AO:AO,MATCH(AO52,$AA:$AA,0)+6)+INDEX(AO:AO,MATCH(AO52,$AA:$AA,0)+7))</f>
        <v>194</v>
      </c>
      <c r="AP55" s="366"/>
      <c r="AQ55" s="365">
        <f>ABS(INDEX(AQ:AQ,MATCH(AQ52,$AA:$AA,0)+5)+INDEX(AQ:AQ,MATCH(AQ52,$AA:$AA,0)+6)+INDEX(AQ:AQ,MATCH(AQ52,$AA:$AA,0)+7))</f>
        <v>174</v>
      </c>
      <c r="AR55" s="366"/>
      <c r="AS55" s="365">
        <f>ABS(INDEX(AS:AS,MATCH(AS52,$AA:$AA,0)+5)+INDEX(AS:AS,MATCH(AS52,$AA:$AA,0)+6)+INDEX(AS:AS,MATCH(AS52,$AA:$AA,0)+7))</f>
        <v>184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9"/>
        <v/>
      </c>
      <c r="D56" s="359">
        <f>IF(AC56=301,"",AC56)</f>
        <v>163</v>
      </c>
      <c r="E56" s="359" t="str">
        <f>IF(AD56=0,"",AD56)</f>
        <v/>
      </c>
      <c r="F56" s="359">
        <f>IF(AE56=301,"",AE56)</f>
        <v>158</v>
      </c>
      <c r="G56" s="359" t="str">
        <f>IF(AF56=0,"",AF56)</f>
        <v/>
      </c>
      <c r="H56" s="359">
        <f>IF(AG56=301,"",AG56)</f>
        <v>224</v>
      </c>
      <c r="I56" s="359" t="str">
        <f>IF(AH56=0,"",AH56)</f>
        <v/>
      </c>
      <c r="J56" s="359">
        <f>IF(AI56=301,"",AI56)</f>
        <v>132</v>
      </c>
      <c r="K56" s="359" t="str">
        <f>IF(AJ56=0,"",AJ56)</f>
        <v/>
      </c>
      <c r="L56" s="359">
        <f>IF(AK56=301,"",AK56)</f>
        <v>182</v>
      </c>
      <c r="M56" s="359" t="str">
        <f>IF(AL56=0,"",AL56)</f>
        <v/>
      </c>
      <c r="N56" s="359">
        <f>IF(AM56=301,"",AM56)</f>
        <v>174</v>
      </c>
      <c r="O56" s="359" t="str">
        <f>IF(AN56=0,"",AN56)</f>
        <v/>
      </c>
      <c r="P56" s="359">
        <f>IF(AO56=301,"",AO56)</f>
        <v>147</v>
      </c>
      <c r="Q56" s="359" t="str">
        <f>IF(AP56=0,"",AP56)</f>
        <v/>
      </c>
      <c r="R56" s="359">
        <f>IF(AQ56=301,"",AQ56)</f>
        <v>182</v>
      </c>
      <c r="S56" s="359" t="str">
        <f>IF(AR56=0,"",AR56)</f>
        <v/>
      </c>
      <c r="T56" s="359">
        <f>IF(AS56=301,"",AS56)</f>
        <v>167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163</v>
      </c>
      <c r="AD56" s="364"/>
      <c r="AE56" s="363">
        <f>ABS(INDEX(AE:AE,MATCH(AE52,$AA:$AA,0)+8)+INDEX(AE:AE,MATCH(AE52,$AA:$AA,0)+9)+INDEX(AE:AE,MATCH(AE52,$AA:$AA,0)+10))</f>
        <v>158</v>
      </c>
      <c r="AF56" s="364"/>
      <c r="AG56" s="363">
        <f>ABS(INDEX(AG:AG,MATCH(AG52,$AA:$AA,0)+8)+INDEX(AG:AG,MATCH(AG52,$AA:$AA,0)+9)+INDEX(AG:AG,MATCH(AG52,$AA:$AA,0)+10))</f>
        <v>224</v>
      </c>
      <c r="AH56" s="364"/>
      <c r="AI56" s="363">
        <f>ABS(INDEX(AI:AI,MATCH(AI52,$AA:$AA,0)+8)+INDEX(AI:AI,MATCH(AI52,$AA:$AA,0)+9)+INDEX(AI:AI,MATCH(AI52,$AA:$AA,0)+10))</f>
        <v>132</v>
      </c>
      <c r="AJ56" s="364"/>
      <c r="AK56" s="363">
        <f>ABS(INDEX(AK:AK,MATCH(AK52,$AA:$AA,0)+8)+INDEX(AK:AK,MATCH(AK52,$AA:$AA,0)+9)+INDEX(AK:AK,MATCH(AK52,$AA:$AA,0)+10))</f>
        <v>182</v>
      </c>
      <c r="AL56" s="364"/>
      <c r="AM56" s="363">
        <f>ABS(INDEX(AM:AM,MATCH(AM52,$AA:$AA,0)+8)+INDEX(AM:AM,MATCH(AM52,$AA:$AA,0)+9)+INDEX(AM:AM,MATCH(AM52,$AA:$AA,0)+10))</f>
        <v>174</v>
      </c>
      <c r="AN56" s="364"/>
      <c r="AO56" s="363">
        <f>ABS(INDEX(AO:AO,MATCH(AO52,$AA:$AA,0)+8)+INDEX(AO:AO,MATCH(AO52,$AA:$AA,0)+9)+INDEX(AO:AO,MATCH(AO52,$AA:$AA,0)+10))</f>
        <v>147</v>
      </c>
      <c r="AP56" s="364"/>
      <c r="AQ56" s="363">
        <f>ABS(INDEX(AQ:AQ,MATCH(AQ52,$AA:$AA,0)+8)+INDEX(AQ:AQ,MATCH(AQ52,$AA:$AA,0)+9)+INDEX(AQ:AQ,MATCH(AQ52,$AA:$AA,0)+10))</f>
        <v>182</v>
      </c>
      <c r="AR56" s="364"/>
      <c r="AS56" s="363">
        <f>ABS(INDEX(AS:AS,MATCH(AS52,$AA:$AA,0)+8)+INDEX(AS:AS,MATCH(AS52,$AA:$AA,0)+9)+INDEX(AS:AS,MATCH(AS52,$AA:$AA,0)+10))</f>
        <v>167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9"/>
        <v/>
      </c>
      <c r="D57" s="359">
        <f>IF(AC57=301,"",AC57)</f>
        <v>145</v>
      </c>
      <c r="E57" s="359" t="str">
        <f>IF(AD57=0,"",AD57)</f>
        <v/>
      </c>
      <c r="F57" s="359">
        <f>IF(AE57=301,"",AE57)</f>
        <v>163</v>
      </c>
      <c r="G57" s="359" t="str">
        <f>IF(AF57=0,"",AF57)</f>
        <v/>
      </c>
      <c r="H57" s="359">
        <f>IF(AG57=301,"",AG57)</f>
        <v>179</v>
      </c>
      <c r="I57" s="359" t="str">
        <f>IF(AH57=0,"",AH57)</f>
        <v/>
      </c>
      <c r="J57" s="359">
        <f>IF(AI57=301,"",AI57)</f>
        <v>161</v>
      </c>
      <c r="K57" s="359" t="str">
        <f>IF(AJ57=0,"",AJ57)</f>
        <v/>
      </c>
      <c r="L57" s="359">
        <f>IF(AK57=301,"",AK57)</f>
        <v>257</v>
      </c>
      <c r="M57" s="359" t="str">
        <f>IF(AL57=0,"",AL57)</f>
        <v/>
      </c>
      <c r="N57" s="359">
        <f>IF(AM57=301,"",AM57)</f>
        <v>174</v>
      </c>
      <c r="O57" s="359" t="str">
        <f>IF(AN57=0,"",AN57)</f>
        <v/>
      </c>
      <c r="P57" s="359">
        <f>IF(AO57=301,"",AO57)</f>
        <v>187</v>
      </c>
      <c r="Q57" s="359" t="str">
        <f>IF(AP57=0,"",AP57)</f>
        <v/>
      </c>
      <c r="R57" s="359">
        <f>IF(AQ57=301,"",AQ57)</f>
        <v>169</v>
      </c>
      <c r="S57" s="359" t="str">
        <f>IF(AR57=0,"",AR57)</f>
        <v/>
      </c>
      <c r="T57" s="359">
        <f>IF(AS57=301,"",AS57)</f>
        <v>177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145</v>
      </c>
      <c r="AD57" s="364"/>
      <c r="AE57" s="363">
        <f>ABS(INDEX(AE:AE,MATCH(AE52,$AA:$AA,0)+11)+INDEX(AE:AE,MATCH(AE52,$AA:$AA,0)+12)+INDEX(AE:AE,MATCH(AE52,$AA:$AA,0)+13))</f>
        <v>163</v>
      </c>
      <c r="AF57" s="364"/>
      <c r="AG57" s="363">
        <f>ABS(INDEX(AG:AG,MATCH(AG52,$AA:$AA,0)+11)+INDEX(AG:AG,MATCH(AG52,$AA:$AA,0)+12)+INDEX(AG:AG,MATCH(AG52,$AA:$AA,0)+13))</f>
        <v>179</v>
      </c>
      <c r="AH57" s="364"/>
      <c r="AI57" s="363">
        <f>ABS(INDEX(AI:AI,MATCH(AI52,$AA:$AA,0)+11)+INDEX(AI:AI,MATCH(AI52,$AA:$AA,0)+12)+INDEX(AI:AI,MATCH(AI52,$AA:$AA,0)+13))</f>
        <v>161</v>
      </c>
      <c r="AJ57" s="364"/>
      <c r="AK57" s="363">
        <f>ABS(INDEX(AK:AK,MATCH(AK52,$AA:$AA,0)+11)+INDEX(AK:AK,MATCH(AK52,$AA:$AA,0)+12)+INDEX(AK:AK,MATCH(AK52,$AA:$AA,0)+13))</f>
        <v>257</v>
      </c>
      <c r="AL57" s="364"/>
      <c r="AM57" s="363">
        <f>ABS(INDEX(AM:AM,MATCH(AM52,$AA:$AA,0)+11)+INDEX(AM:AM,MATCH(AM52,$AA:$AA,0)+12)+INDEX(AM:AM,MATCH(AM52,$AA:$AA,0)+13))</f>
        <v>174</v>
      </c>
      <c r="AN57" s="364"/>
      <c r="AO57" s="363">
        <f>ABS(INDEX(AO:AO,MATCH(AO52,$AA:$AA,0)+11)+INDEX(AO:AO,MATCH(AO52,$AA:$AA,0)+12)+INDEX(AO:AO,MATCH(AO52,$AA:$AA,0)+13))</f>
        <v>187</v>
      </c>
      <c r="AP57" s="364"/>
      <c r="AQ57" s="363">
        <f>ABS(INDEX(AQ:AQ,MATCH(AQ52,$AA:$AA,0)+11)+INDEX(AQ:AQ,MATCH(AQ52,$AA:$AA,0)+12)+INDEX(AQ:AQ,MATCH(AQ52,$AA:$AA,0)+13))</f>
        <v>169</v>
      </c>
      <c r="AR57" s="364"/>
      <c r="AS57" s="363">
        <f>ABS(INDEX(AS:AS,MATCH(AS52,$AA:$AA,0)+11)+INDEX(AS:AS,MATCH(AS52,$AA:$AA,0)+12)+INDEX(AS:AS,MATCH(AS52,$AA:$AA,0)+13))</f>
        <v>177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9"/>
        <v/>
      </c>
      <c r="D58" s="359">
        <f>IF(AC58=301,"",AC58)</f>
        <v>210</v>
      </c>
      <c r="E58" s="359" t="str">
        <f>IF(AD58=0,"",AD58)</f>
        <v/>
      </c>
      <c r="F58" s="359">
        <f>IF(AE58=301,"",AE58)</f>
        <v>145</v>
      </c>
      <c r="G58" s="359" t="str">
        <f>IF(AF58=0,"",AF58)</f>
        <v/>
      </c>
      <c r="H58" s="359">
        <f>IF(AG58=301,"",AG58)</f>
        <v>181</v>
      </c>
      <c r="I58" s="359" t="str">
        <f>IF(AH58=0,"",AH58)</f>
        <v/>
      </c>
      <c r="J58" s="359">
        <f>IF(AI58=301,"",AI58)</f>
        <v>169</v>
      </c>
      <c r="K58" s="359" t="str">
        <f>IF(AJ58=0,"",AJ58)</f>
        <v/>
      </c>
      <c r="L58" s="359">
        <f>IF(AK58=301,"",AK58)</f>
        <v>193</v>
      </c>
      <c r="M58" s="359" t="str">
        <f>IF(AL58=0,"",AL58)</f>
        <v/>
      </c>
      <c r="N58" s="359">
        <f>IF(AM58=301,"",AM58)</f>
        <v>182</v>
      </c>
      <c r="O58" s="359" t="str">
        <f>IF(AN58=0,"",AN58)</f>
        <v/>
      </c>
      <c r="P58" s="359">
        <f>IF(AO58=301,"",AO58)</f>
        <v>190</v>
      </c>
      <c r="Q58" s="359" t="str">
        <f>IF(AP58=0,"",AP58)</f>
        <v/>
      </c>
      <c r="R58" s="359">
        <f>IF(AQ58=301,"",AQ58)</f>
        <v>202</v>
      </c>
      <c r="S58" s="359" t="str">
        <f>IF(AR58=0,"",AR58)</f>
        <v/>
      </c>
      <c r="T58" s="359">
        <f>IF(AS58=301,"",AS58)</f>
        <v>148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210</v>
      </c>
      <c r="AD58" s="364"/>
      <c r="AE58" s="363">
        <f>ABS(INDEX(AE:AE,MATCH(AE52,$AA:$AA,0)+14)+INDEX(AE:AE,MATCH(AE52,$AA:$AA,0)+15)+INDEX(AE:AE,MATCH(AE52,$AA:$AA,0)+16))</f>
        <v>145</v>
      </c>
      <c r="AF58" s="364"/>
      <c r="AG58" s="363">
        <f>ABS(INDEX(AG:AG,MATCH(AG52,$AA:$AA,0)+14)+INDEX(AG:AG,MATCH(AG52,$AA:$AA,0)+15)+INDEX(AG:AG,MATCH(AG52,$AA:$AA,0)+16))</f>
        <v>181</v>
      </c>
      <c r="AH58" s="364"/>
      <c r="AI58" s="363">
        <f>ABS(INDEX(AI:AI,MATCH(AI52,$AA:$AA,0)+14)+INDEX(AI:AI,MATCH(AI52,$AA:$AA,0)+15)+INDEX(AI:AI,MATCH(AI52,$AA:$AA,0)+16))</f>
        <v>169</v>
      </c>
      <c r="AJ58" s="364"/>
      <c r="AK58" s="363">
        <f>ABS(INDEX(AK:AK,MATCH(AK52,$AA:$AA,0)+14)+INDEX(AK:AK,MATCH(AK52,$AA:$AA,0)+15)+INDEX(AK:AK,MATCH(AK52,$AA:$AA,0)+16))</f>
        <v>193</v>
      </c>
      <c r="AL58" s="364"/>
      <c r="AM58" s="363">
        <f>ABS(INDEX(AM:AM,MATCH(AM52,$AA:$AA,0)+14)+INDEX(AM:AM,MATCH(AM52,$AA:$AA,0)+15)+INDEX(AM:AM,MATCH(AM52,$AA:$AA,0)+16))</f>
        <v>182</v>
      </c>
      <c r="AN58" s="364"/>
      <c r="AO58" s="363">
        <f>ABS(INDEX(AO:AO,MATCH(AO52,$AA:$AA,0)+14)+INDEX(AO:AO,MATCH(AO52,$AA:$AA,0)+15)+INDEX(AO:AO,MATCH(AO52,$AA:$AA,0)+16))</f>
        <v>190</v>
      </c>
      <c r="AP58" s="364"/>
      <c r="AQ58" s="363">
        <f>ABS(INDEX(AQ:AQ,MATCH(AQ52,$AA:$AA,0)+14)+INDEX(AQ:AQ,MATCH(AQ52,$AA:$AA,0)+15)+INDEX(AQ:AQ,MATCH(AQ52,$AA:$AA,0)+16))</f>
        <v>202</v>
      </c>
      <c r="AR58" s="364"/>
      <c r="AS58" s="363">
        <f>ABS(INDEX(AS:AS,MATCH(AS52,$AA:$AA,0)+14)+INDEX(AS:AS,MATCH(AS52,$AA:$AA,0)+15)+INDEX(AS:AS,MATCH(AS52,$AA:$AA,0)+16))</f>
        <v>148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9"/>
        <v/>
      </c>
      <c r="D59" s="362">
        <f>IF(AC59=1505,"",AC59)</f>
        <v>732</v>
      </c>
      <c r="E59" s="362" t="str">
        <f>IF(AD59=0,"",AD59)</f>
        <v/>
      </c>
      <c r="F59" s="362">
        <f>IF(AE59=1505,"",AE59)</f>
        <v>622</v>
      </c>
      <c r="G59" s="362" t="str">
        <f>IF(AF59=0,"",AF59)</f>
        <v/>
      </c>
      <c r="H59" s="362">
        <f>IF(AG59=1505,"",AG59)</f>
        <v>741</v>
      </c>
      <c r="I59" s="362" t="str">
        <f>IF(AH59=0,"",AH59)</f>
        <v/>
      </c>
      <c r="J59" s="362">
        <f>IF(AI59=1505,"",AI59)</f>
        <v>627</v>
      </c>
      <c r="K59" s="362" t="str">
        <f>IF(AJ59=0,"",AJ59)</f>
        <v/>
      </c>
      <c r="L59" s="362">
        <f>IF(AK59=1505,"",AK59)</f>
        <v>845</v>
      </c>
      <c r="M59" s="362" t="str">
        <f>IF(AL59=0,"",AL59)</f>
        <v/>
      </c>
      <c r="N59" s="362">
        <f>IF(AM59=1505,"",AM59)</f>
        <v>734</v>
      </c>
      <c r="O59" s="362" t="str">
        <f>IF(AN59=0,"",AN59)</f>
        <v/>
      </c>
      <c r="P59" s="362">
        <f>IF(AO59=1505,"",AO59)</f>
        <v>718</v>
      </c>
      <c r="Q59" s="362" t="str">
        <f>IF(AP59=0,"",AP59)</f>
        <v/>
      </c>
      <c r="R59" s="362">
        <f>IF(AQ59=1505,"",AQ59)</f>
        <v>727</v>
      </c>
      <c r="S59" s="362" t="str">
        <f>IF(AR59=0,"",AR59)</f>
        <v/>
      </c>
      <c r="T59" s="362">
        <f>IF(AS59=1505,"",AS59)</f>
        <v>676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732</v>
      </c>
      <c r="AD59" s="344"/>
      <c r="AE59" s="343">
        <f>SUM(AE55:AE58)</f>
        <v>622</v>
      </c>
      <c r="AF59" s="344"/>
      <c r="AG59" s="343">
        <f>SUM(AG55:AG58)</f>
        <v>741</v>
      </c>
      <c r="AH59" s="344"/>
      <c r="AI59" s="343">
        <f>SUM(AI55:AI58)</f>
        <v>627</v>
      </c>
      <c r="AJ59" s="344"/>
      <c r="AK59" s="343">
        <f>SUM(AK55:AK58)</f>
        <v>845</v>
      </c>
      <c r="AL59" s="344"/>
      <c r="AM59" s="343">
        <f>SUM(AM55:AM58)</f>
        <v>734</v>
      </c>
      <c r="AN59" s="344"/>
      <c r="AO59" s="343">
        <f>SUM(AO55:AO58)</f>
        <v>718</v>
      </c>
      <c r="AP59" s="344"/>
      <c r="AQ59" s="343">
        <f>SUM(AQ55:AQ58)</f>
        <v>727</v>
      </c>
      <c r="AR59" s="344"/>
      <c r="AS59" s="343">
        <f>SUM(AS55:AS58)</f>
        <v>676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12.10./13.10.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12.10./13.10.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72">IF(AE67=0,"",AE67)</f>
        <v>203</v>
      </c>
      <c r="G67" s="345">
        <f>IF(AF67="","",AF67)</f>
        <v>1</v>
      </c>
      <c r="H67" s="75">
        <f t="shared" ref="H67:H80" si="73">IF(AG67=0,"",AG67)</f>
        <v>214</v>
      </c>
      <c r="I67" s="345">
        <f>IF(AH67="","",AH67)</f>
        <v>1</v>
      </c>
      <c r="J67" s="75">
        <f t="shared" ref="J67:J80" si="74">IF(AI67=0,"",AI67)</f>
        <v>178</v>
      </c>
      <c r="K67" s="345">
        <f>IF(AJ67="","",AJ67)</f>
        <v>0</v>
      </c>
      <c r="L67" s="75">
        <f t="shared" ref="L67:L80" si="75">IF(AK67=0,"",AK67)</f>
        <v>213</v>
      </c>
      <c r="M67" s="345">
        <f>IF(AL67="","",AL67)</f>
        <v>1</v>
      </c>
      <c r="N67" s="75">
        <f>IF(AM67=0,"",AM67)</f>
        <v>172</v>
      </c>
      <c r="O67" s="345">
        <f>IF(AN67="","",AN67)</f>
        <v>1</v>
      </c>
      <c r="P67" s="75">
        <f t="shared" ref="P67:P80" si="76">IF(AO67=0,"",AO67)</f>
        <v>176</v>
      </c>
      <c r="Q67" s="345">
        <f>IF(AP67="","",AP67)</f>
        <v>1</v>
      </c>
      <c r="R67" s="75">
        <f t="shared" ref="R67:R80" si="77">IF(AQ67=0,"",AQ67)</f>
        <v>153</v>
      </c>
      <c r="S67" s="345">
        <f>IF(AR67="","",AR67)</f>
        <v>0</v>
      </c>
      <c r="T67" s="75">
        <f t="shared" ref="T67:T80" si="78">IF(AS67=0,"",AS67)</f>
        <v>191</v>
      </c>
      <c r="U67" s="345">
        <f>IF(AT67="","",AT67)</f>
        <v>1</v>
      </c>
      <c r="V67" s="75">
        <f t="shared" ref="V67:V80" si="79">IF(AU67=0,"",AU67)</f>
        <v>1691</v>
      </c>
      <c r="W67" s="345">
        <f>IF(AV67="","",AV67)</f>
        <v>7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0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4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6"/>
      <c r="F68" s="78" t="str">
        <f t="shared" si="72"/>
        <v/>
      </c>
      <c r="G68" s="346"/>
      <c r="H68" s="78" t="str">
        <f t="shared" si="73"/>
        <v/>
      </c>
      <c r="I68" s="346"/>
      <c r="J68" s="78" t="str">
        <f t="shared" si="74"/>
        <v/>
      </c>
      <c r="K68" s="346"/>
      <c r="L68" s="78" t="str">
        <f t="shared" si="75"/>
        <v/>
      </c>
      <c r="M68" s="346"/>
      <c r="N68" s="78" t="str">
        <f t="shared" ref="N68:N80" si="94">IF(AM68=0,"",AM68)</f>
        <v/>
      </c>
      <c r="O68" s="346"/>
      <c r="P68" s="78" t="str">
        <f t="shared" si="76"/>
        <v/>
      </c>
      <c r="Q68" s="346"/>
      <c r="R68" s="78" t="str">
        <f t="shared" si="77"/>
        <v/>
      </c>
      <c r="S68" s="346"/>
      <c r="T68" s="78" t="str">
        <f t="shared" si="78"/>
        <v/>
      </c>
      <c r="U68" s="346"/>
      <c r="V68" s="78" t="str">
        <f t="shared" si="79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5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7"/>
      <c r="F69" s="69" t="str">
        <f t="shared" si="72"/>
        <v/>
      </c>
      <c r="G69" s="347"/>
      <c r="H69" s="69" t="str">
        <f t="shared" si="73"/>
        <v/>
      </c>
      <c r="I69" s="347"/>
      <c r="J69" s="69" t="str">
        <f t="shared" si="74"/>
        <v/>
      </c>
      <c r="K69" s="347"/>
      <c r="L69" s="69" t="str">
        <f t="shared" si="75"/>
        <v/>
      </c>
      <c r="M69" s="347"/>
      <c r="N69" s="69" t="str">
        <f t="shared" si="94"/>
        <v/>
      </c>
      <c r="O69" s="347"/>
      <c r="P69" s="69" t="str">
        <f t="shared" si="76"/>
        <v/>
      </c>
      <c r="Q69" s="347"/>
      <c r="R69" s="69" t="str">
        <f t="shared" si="77"/>
        <v/>
      </c>
      <c r="S69" s="347"/>
      <c r="T69" s="69" t="str">
        <f t="shared" si="78"/>
        <v/>
      </c>
      <c r="U69" s="347"/>
      <c r="V69" s="69" t="str">
        <f t="shared" si="79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3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5">
        <f>IF(AD70="","",AD70)</f>
        <v>0</v>
      </c>
      <c r="F70" s="75">
        <f t="shared" si="72"/>
        <v>156</v>
      </c>
      <c r="G70" s="345">
        <f>IF(AF70="","",AF70)</f>
        <v>1</v>
      </c>
      <c r="H70" s="75">
        <f t="shared" si="73"/>
        <v>193</v>
      </c>
      <c r="I70" s="345">
        <f>IF(AH70="","",AH70)</f>
        <v>1</v>
      </c>
      <c r="J70" s="75">
        <f t="shared" si="74"/>
        <v>147</v>
      </c>
      <c r="K70" s="345">
        <f>IF(AJ70="","",AJ70)</f>
        <v>0</v>
      </c>
      <c r="L70" s="75" t="str">
        <f t="shared" si="75"/>
        <v/>
      </c>
      <c r="M70" s="345">
        <f>IF(AL70="","",AL70)</f>
        <v>1</v>
      </c>
      <c r="N70" s="75" t="str">
        <f t="shared" si="94"/>
        <v/>
      </c>
      <c r="O70" s="345">
        <f>IF(AN70="","",AN70)</f>
        <v>1</v>
      </c>
      <c r="P70" s="75" t="str">
        <f t="shared" si="76"/>
        <v/>
      </c>
      <c r="Q70" s="345">
        <f>IF(AP70="","",AP70)</f>
        <v>0</v>
      </c>
      <c r="R70" s="75" t="str">
        <f t="shared" si="77"/>
        <v/>
      </c>
      <c r="S70" s="345">
        <f>IF(AR70="","",AR70)</f>
        <v>0</v>
      </c>
      <c r="T70" s="75" t="str">
        <f t="shared" si="78"/>
        <v/>
      </c>
      <c r="U70" s="345">
        <f>IF(AT70="","",AT70)</f>
        <v>0</v>
      </c>
      <c r="V70" s="75">
        <f t="shared" si="79"/>
        <v>658</v>
      </c>
      <c r="W70" s="345">
        <f>IF(AV70="","",AV70)</f>
        <v>4</v>
      </c>
      <c r="Z70" s="348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0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4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4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6"/>
      <c r="F71" s="78" t="str">
        <f t="shared" si="72"/>
        <v/>
      </c>
      <c r="G71" s="346"/>
      <c r="H71" s="78" t="str">
        <f t="shared" si="73"/>
        <v/>
      </c>
      <c r="I71" s="346"/>
      <c r="J71" s="78" t="str">
        <f t="shared" si="74"/>
        <v/>
      </c>
      <c r="K71" s="346"/>
      <c r="L71" s="78">
        <f t="shared" si="75"/>
        <v>182</v>
      </c>
      <c r="M71" s="346"/>
      <c r="N71" s="78">
        <f t="shared" si="94"/>
        <v>179</v>
      </c>
      <c r="O71" s="346"/>
      <c r="P71" s="78">
        <f t="shared" si="76"/>
        <v>171</v>
      </c>
      <c r="Q71" s="346"/>
      <c r="R71" s="78">
        <f t="shared" si="77"/>
        <v>155</v>
      </c>
      <c r="S71" s="346"/>
      <c r="T71" s="78">
        <f t="shared" si="78"/>
        <v>188</v>
      </c>
      <c r="U71" s="346"/>
      <c r="V71" s="78">
        <f t="shared" si="79"/>
        <v>875</v>
      </c>
      <c r="W71" s="346"/>
      <c r="Z71" s="349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5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7"/>
      <c r="F72" s="69" t="str">
        <f t="shared" si="72"/>
        <v/>
      </c>
      <c r="G72" s="347"/>
      <c r="H72" s="69" t="str">
        <f t="shared" si="73"/>
        <v/>
      </c>
      <c r="I72" s="347"/>
      <c r="J72" s="69" t="str">
        <f t="shared" si="74"/>
        <v/>
      </c>
      <c r="K72" s="347"/>
      <c r="L72" s="69" t="str">
        <f t="shared" si="75"/>
        <v/>
      </c>
      <c r="M72" s="347"/>
      <c r="N72" s="69" t="str">
        <f t="shared" si="94"/>
        <v/>
      </c>
      <c r="O72" s="347"/>
      <c r="P72" s="69" t="str">
        <f t="shared" si="76"/>
        <v/>
      </c>
      <c r="Q72" s="347"/>
      <c r="R72" s="69" t="str">
        <f t="shared" si="77"/>
        <v/>
      </c>
      <c r="S72" s="347"/>
      <c r="T72" s="69" t="str">
        <f t="shared" si="78"/>
        <v/>
      </c>
      <c r="U72" s="347"/>
      <c r="V72" s="69" t="str">
        <f t="shared" si="79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3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5">
        <f>IF(AD73="","",AD73)</f>
        <v>1</v>
      </c>
      <c r="F73" s="75">
        <f t="shared" si="72"/>
        <v>216</v>
      </c>
      <c r="G73" s="345">
        <f>IF(AF73="","",AF73)</f>
        <v>1</v>
      </c>
      <c r="H73" s="75">
        <f t="shared" si="73"/>
        <v>176</v>
      </c>
      <c r="I73" s="345">
        <f>IF(AH73="","",AH73)</f>
        <v>1</v>
      </c>
      <c r="J73" s="75">
        <f t="shared" si="74"/>
        <v>203</v>
      </c>
      <c r="K73" s="345">
        <f>IF(AJ73="","",AJ73)</f>
        <v>1</v>
      </c>
      <c r="L73" s="75">
        <f t="shared" si="75"/>
        <v>257</v>
      </c>
      <c r="M73" s="345">
        <f>IF(AL73="","",AL73)</f>
        <v>1</v>
      </c>
      <c r="N73" s="75">
        <f t="shared" si="94"/>
        <v>212</v>
      </c>
      <c r="O73" s="345">
        <f>IF(AN73="","",AN73)</f>
        <v>1</v>
      </c>
      <c r="P73" s="75">
        <f t="shared" si="76"/>
        <v>127</v>
      </c>
      <c r="Q73" s="345">
        <f>IF(AP73="","",AP73)</f>
        <v>0</v>
      </c>
      <c r="R73" s="75">
        <f t="shared" si="77"/>
        <v>221</v>
      </c>
      <c r="S73" s="345">
        <f>IF(AR73="","",AR73)</f>
        <v>1</v>
      </c>
      <c r="T73" s="75">
        <f t="shared" si="78"/>
        <v>225</v>
      </c>
      <c r="U73" s="345">
        <f>IF(AT73="","",AT73)</f>
        <v>1</v>
      </c>
      <c r="V73" s="75">
        <f t="shared" si="79"/>
        <v>1872</v>
      </c>
      <c r="W73" s="345">
        <f>IF(AV73="","",AV73)</f>
        <v>8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4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6"/>
      <c r="F74" s="78" t="str">
        <f t="shared" si="72"/>
        <v/>
      </c>
      <c r="G74" s="346"/>
      <c r="H74" s="78" t="str">
        <f t="shared" si="73"/>
        <v/>
      </c>
      <c r="I74" s="346"/>
      <c r="J74" s="78" t="str">
        <f t="shared" si="74"/>
        <v/>
      </c>
      <c r="K74" s="346"/>
      <c r="L74" s="78" t="str">
        <f t="shared" si="75"/>
        <v/>
      </c>
      <c r="M74" s="346"/>
      <c r="N74" s="78" t="str">
        <f t="shared" si="94"/>
        <v/>
      </c>
      <c r="O74" s="346"/>
      <c r="P74" s="78" t="str">
        <f t="shared" si="76"/>
        <v/>
      </c>
      <c r="Q74" s="346"/>
      <c r="R74" s="78" t="str">
        <f t="shared" si="77"/>
        <v/>
      </c>
      <c r="S74" s="346"/>
      <c r="T74" s="78" t="str">
        <f t="shared" si="78"/>
        <v/>
      </c>
      <c r="U74" s="346"/>
      <c r="V74" s="78" t="str">
        <f t="shared" si="79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5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7"/>
      <c r="F75" s="69" t="str">
        <f t="shared" si="72"/>
        <v/>
      </c>
      <c r="G75" s="347"/>
      <c r="H75" s="69" t="str">
        <f t="shared" si="73"/>
        <v/>
      </c>
      <c r="I75" s="347"/>
      <c r="J75" s="69" t="str">
        <f t="shared" si="74"/>
        <v/>
      </c>
      <c r="K75" s="347"/>
      <c r="L75" s="69" t="str">
        <f t="shared" si="75"/>
        <v/>
      </c>
      <c r="M75" s="347"/>
      <c r="N75" s="69" t="str">
        <f t="shared" si="94"/>
        <v/>
      </c>
      <c r="O75" s="347"/>
      <c r="P75" s="69" t="str">
        <f t="shared" si="76"/>
        <v/>
      </c>
      <c r="Q75" s="347"/>
      <c r="R75" s="69" t="str">
        <f t="shared" si="77"/>
        <v/>
      </c>
      <c r="S75" s="347"/>
      <c r="T75" s="69" t="str">
        <f t="shared" si="78"/>
        <v/>
      </c>
      <c r="U75" s="347"/>
      <c r="V75" s="69" t="str">
        <f t="shared" si="79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3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5">
        <f>IF(AD76="","",AD76)</f>
        <v>1</v>
      </c>
      <c r="F76" s="75">
        <f t="shared" si="72"/>
        <v>165</v>
      </c>
      <c r="G76" s="345">
        <f>IF(AF76="","",AF76)</f>
        <v>0</v>
      </c>
      <c r="H76" s="75">
        <f t="shared" si="73"/>
        <v>182</v>
      </c>
      <c r="I76" s="345">
        <f>IF(AH76="","",AH76)</f>
        <v>1</v>
      </c>
      <c r="J76" s="75">
        <f t="shared" si="74"/>
        <v>201</v>
      </c>
      <c r="K76" s="345">
        <f>IF(AJ76="","",AJ76)</f>
        <v>1</v>
      </c>
      <c r="L76" s="75">
        <f t="shared" si="75"/>
        <v>193</v>
      </c>
      <c r="M76" s="345">
        <f>IF(AL76="","",AL76)</f>
        <v>1</v>
      </c>
      <c r="N76" s="75">
        <f t="shared" si="94"/>
        <v>196</v>
      </c>
      <c r="O76" s="345">
        <f>IF(AN76="","",AN76)</f>
        <v>0</v>
      </c>
      <c r="P76" s="75">
        <f t="shared" si="76"/>
        <v>170</v>
      </c>
      <c r="Q76" s="345">
        <f>IF(AP76="","",AP76)</f>
        <v>0</v>
      </c>
      <c r="R76" s="75">
        <f t="shared" si="77"/>
        <v>190</v>
      </c>
      <c r="S76" s="345">
        <f>IF(AR76="","",AR76)</f>
        <v>1</v>
      </c>
      <c r="T76" s="75">
        <f t="shared" si="78"/>
        <v>174</v>
      </c>
      <c r="U76" s="345">
        <f>IF(AT76="","",AT76)</f>
        <v>0</v>
      </c>
      <c r="V76" s="75">
        <f t="shared" si="79"/>
        <v>1662</v>
      </c>
      <c r="W76" s="345">
        <f>IF(AV76="","",AV76)</f>
        <v>5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4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6"/>
      <c r="F77" s="78" t="str">
        <f t="shared" si="72"/>
        <v/>
      </c>
      <c r="G77" s="346"/>
      <c r="H77" s="78" t="str">
        <f t="shared" si="73"/>
        <v/>
      </c>
      <c r="I77" s="346"/>
      <c r="J77" s="78" t="str">
        <f t="shared" si="74"/>
        <v/>
      </c>
      <c r="K77" s="346"/>
      <c r="L77" s="78" t="str">
        <f t="shared" si="75"/>
        <v/>
      </c>
      <c r="M77" s="346"/>
      <c r="N77" s="78" t="str">
        <f t="shared" si="94"/>
        <v/>
      </c>
      <c r="O77" s="346"/>
      <c r="P77" s="78" t="str">
        <f t="shared" si="76"/>
        <v/>
      </c>
      <c r="Q77" s="346"/>
      <c r="R77" s="78" t="str">
        <f t="shared" si="77"/>
        <v/>
      </c>
      <c r="S77" s="346"/>
      <c r="T77" s="78" t="str">
        <f t="shared" si="78"/>
        <v/>
      </c>
      <c r="U77" s="346"/>
      <c r="V77" s="78" t="str">
        <f t="shared" si="79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5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7"/>
      <c r="F78" s="69" t="str">
        <f t="shared" si="72"/>
        <v/>
      </c>
      <c r="G78" s="347"/>
      <c r="H78" s="69" t="str">
        <f t="shared" si="73"/>
        <v/>
      </c>
      <c r="I78" s="347"/>
      <c r="J78" s="69" t="str">
        <f t="shared" si="74"/>
        <v/>
      </c>
      <c r="K78" s="347"/>
      <c r="L78" s="69" t="str">
        <f t="shared" si="75"/>
        <v/>
      </c>
      <c r="M78" s="347"/>
      <c r="N78" s="69" t="str">
        <f t="shared" si="94"/>
        <v/>
      </c>
      <c r="O78" s="347"/>
      <c r="P78" s="69" t="str">
        <f t="shared" si="76"/>
        <v/>
      </c>
      <c r="Q78" s="347"/>
      <c r="R78" s="69" t="str">
        <f t="shared" si="77"/>
        <v/>
      </c>
      <c r="S78" s="347"/>
      <c r="T78" s="69" t="str">
        <f t="shared" si="78"/>
        <v/>
      </c>
      <c r="U78" s="347"/>
      <c r="V78" s="69" t="str">
        <f t="shared" si="79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40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40</v>
      </c>
      <c r="AW80" s="101"/>
      <c r="AX80" s="102"/>
      <c r="BA80" s="212">
        <f>+AV80</f>
        <v>40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40.006757999999998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3">
        <f t="shared" ref="D82:M84" si="107">IF(AC82=0,"",AC82)</f>
        <v>1</v>
      </c>
      <c r="E82" s="353" t="str">
        <f t="shared" si="107"/>
        <v/>
      </c>
      <c r="F82" s="353">
        <f t="shared" si="107"/>
        <v>10</v>
      </c>
      <c r="G82" s="353" t="str">
        <f t="shared" si="107"/>
        <v/>
      </c>
      <c r="H82" s="353">
        <f t="shared" si="107"/>
        <v>5</v>
      </c>
      <c r="I82" s="353" t="str">
        <f t="shared" si="107"/>
        <v/>
      </c>
      <c r="J82" s="353">
        <f t="shared" si="107"/>
        <v>9</v>
      </c>
      <c r="K82" s="353" t="str">
        <f t="shared" si="107"/>
        <v/>
      </c>
      <c r="L82" s="353">
        <f t="shared" si="107"/>
        <v>2</v>
      </c>
      <c r="M82" s="353" t="str">
        <f t="shared" si="107"/>
        <v/>
      </c>
      <c r="N82" s="353">
        <f t="shared" ref="N82:U84" si="108">IF(AM82=0,"",AM82)</f>
        <v>6</v>
      </c>
      <c r="O82" s="353" t="str">
        <f t="shared" si="108"/>
        <v/>
      </c>
      <c r="P82" s="353">
        <f t="shared" si="108"/>
        <v>8</v>
      </c>
      <c r="Q82" s="353" t="str">
        <f t="shared" si="108"/>
        <v/>
      </c>
      <c r="R82" s="353">
        <f t="shared" si="108"/>
        <v>4</v>
      </c>
      <c r="S82" s="353" t="str">
        <f t="shared" si="108"/>
        <v/>
      </c>
      <c r="T82" s="353">
        <f t="shared" si="108"/>
        <v>7</v>
      </c>
      <c r="U82" s="353" t="str">
        <f t="shared" si="108"/>
        <v/>
      </c>
      <c r="V82" s="354"/>
      <c r="W82" s="354"/>
      <c r="AA82" s="88" t="s">
        <v>1797</v>
      </c>
      <c r="AB82" s="89" t="s">
        <v>1798</v>
      </c>
      <c r="AC82" s="367">
        <f>VLOOKUP($AA62,Schlüssel!$A$5:$K$14,3)</f>
        <v>1</v>
      </c>
      <c r="AD82" s="368"/>
      <c r="AE82" s="367">
        <f>VLOOKUP($AA62,Schlüssel!$A$5:$K$14,4)</f>
        <v>10</v>
      </c>
      <c r="AF82" s="368"/>
      <c r="AG82" s="367">
        <f>VLOOKUP($AA62,Schlüssel!$A$5:$K$14,5)</f>
        <v>5</v>
      </c>
      <c r="AH82" s="368"/>
      <c r="AI82" s="367">
        <f>VLOOKUP($AA62,Schlüssel!$A$5:$K$14,6)</f>
        <v>9</v>
      </c>
      <c r="AJ82" s="368"/>
      <c r="AK82" s="367">
        <f>VLOOKUP($AA62,Schlüssel!$A$5:$K$14,7)</f>
        <v>2</v>
      </c>
      <c r="AL82" s="368"/>
      <c r="AM82" s="367">
        <f>VLOOKUP($AA62,Schlüssel!$A$5:$K$14,8)</f>
        <v>6</v>
      </c>
      <c r="AN82" s="368"/>
      <c r="AO82" s="367">
        <f>VLOOKUP($AA62,Schlüssel!$A$5:$K$14,9)</f>
        <v>8</v>
      </c>
      <c r="AP82" s="368"/>
      <c r="AQ82" s="367">
        <f>VLOOKUP($AA62,Schlüssel!$A$5:$K$14,10)</f>
        <v>4</v>
      </c>
      <c r="AR82" s="368"/>
      <c r="AS82" s="367">
        <f>VLOOKUP($AA62,Schlüssel!$A$5:$K$14,11)</f>
        <v>7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5" t="str">
        <f t="shared" si="107"/>
        <v>Praetoria Regensburg</v>
      </c>
      <c r="E83" s="356" t="str">
        <f t="shared" si="107"/>
        <v/>
      </c>
      <c r="F83" s="355" t="str">
        <f t="shared" si="107"/>
        <v>BK München 4</v>
      </c>
      <c r="G83" s="356" t="str">
        <f t="shared" si="107"/>
        <v/>
      </c>
      <c r="H83" s="355" t="str">
        <f t="shared" si="107"/>
        <v xml:space="preserve">Weiß Blau Unterföhring </v>
      </c>
      <c r="I83" s="356" t="str">
        <f t="shared" si="107"/>
        <v/>
      </c>
      <c r="J83" s="355" t="str">
        <f t="shared" si="107"/>
        <v>RW Lichtenhof 69 Stein 2</v>
      </c>
      <c r="K83" s="356" t="str">
        <f t="shared" si="107"/>
        <v/>
      </c>
      <c r="L83" s="355" t="str">
        <f t="shared" si="107"/>
        <v>BK München 2</v>
      </c>
      <c r="M83" s="356" t="str">
        <f t="shared" si="107"/>
        <v/>
      </c>
      <c r="N83" s="355" t="str">
        <f t="shared" si="108"/>
        <v>Phönix 03 Lauf</v>
      </c>
      <c r="O83" s="356" t="str">
        <f t="shared" si="108"/>
        <v/>
      </c>
      <c r="P83" s="355" t="str">
        <f t="shared" si="108"/>
        <v>EPA München 1</v>
      </c>
      <c r="Q83" s="356" t="str">
        <f t="shared" si="108"/>
        <v/>
      </c>
      <c r="R83" s="355" t="str">
        <f t="shared" si="108"/>
        <v>BK München 3</v>
      </c>
      <c r="S83" s="356" t="str">
        <f t="shared" si="108"/>
        <v/>
      </c>
      <c r="T83" s="355" t="str">
        <f t="shared" si="108"/>
        <v>Frankenpower Nürnberg</v>
      </c>
      <c r="U83" s="356" t="str">
        <f t="shared" si="108"/>
        <v/>
      </c>
      <c r="V83" s="360"/>
      <c r="W83" s="360"/>
      <c r="AA83" s="90"/>
      <c r="AB83" s="86"/>
      <c r="AC83" s="355" t="str">
        <f>VLOOKUP(AC82,Schlüssel!$A$5:$K$14,2)</f>
        <v>Praetoria Regensburg</v>
      </c>
      <c r="AD83" s="356"/>
      <c r="AE83" s="355" t="str">
        <f>VLOOKUP(AE82,Schlüssel!$A$5:$K$14,2)</f>
        <v>BK München 4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RW Lichtenhof 69 Stein 2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EPA München 1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Frankenpower Nürnberg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7" t="str">
        <f t="shared" si="107"/>
        <v/>
      </c>
      <c r="E84" s="357" t="str">
        <f t="shared" si="107"/>
        <v/>
      </c>
      <c r="F84" s="357" t="str">
        <f t="shared" si="107"/>
        <v/>
      </c>
      <c r="G84" s="357" t="str">
        <f t="shared" si="107"/>
        <v/>
      </c>
      <c r="H84" s="357" t="str">
        <f t="shared" si="107"/>
        <v/>
      </c>
      <c r="I84" s="357" t="str">
        <f t="shared" si="107"/>
        <v/>
      </c>
      <c r="J84" s="357" t="str">
        <f t="shared" si="107"/>
        <v/>
      </c>
      <c r="K84" s="357" t="str">
        <f t="shared" si="107"/>
        <v/>
      </c>
      <c r="L84" s="357" t="str">
        <f t="shared" si="107"/>
        <v/>
      </c>
      <c r="M84" s="357" t="str">
        <f t="shared" si="107"/>
        <v/>
      </c>
      <c r="N84" s="357" t="str">
        <f t="shared" si="108"/>
        <v/>
      </c>
      <c r="O84" s="357" t="str">
        <f t="shared" si="108"/>
        <v/>
      </c>
      <c r="P84" s="357" t="str">
        <f t="shared" si="108"/>
        <v/>
      </c>
      <c r="Q84" s="357" t="str">
        <f t="shared" si="108"/>
        <v/>
      </c>
      <c r="R84" s="357" t="str">
        <f t="shared" si="108"/>
        <v/>
      </c>
      <c r="S84" s="357" t="str">
        <f t="shared" si="108"/>
        <v/>
      </c>
      <c r="T84" s="357" t="str">
        <f t="shared" si="108"/>
        <v/>
      </c>
      <c r="U84" s="358" t="str">
        <f t="shared" si="108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si="105"/>
        <v>Spieler 1</v>
      </c>
      <c r="C85" s="372" t="str">
        <f t="shared" si="106"/>
        <v/>
      </c>
      <c r="D85" s="359">
        <f>IF(AC85=301,"",AC85)</f>
        <v>148</v>
      </c>
      <c r="E85" s="359" t="str">
        <f>IF(AD85=0,"",AD85)</f>
        <v/>
      </c>
      <c r="F85" s="359">
        <f>IF(AE85=301,"",AE85)</f>
        <v>166</v>
      </c>
      <c r="G85" s="359" t="str">
        <f>IF(AF85=0,"",AF85)</f>
        <v/>
      </c>
      <c r="H85" s="359">
        <f>IF(AG85=301,"",AG85)</f>
        <v>171</v>
      </c>
      <c r="I85" s="359" t="str">
        <f>IF(AH85=0,"",AH85)</f>
        <v/>
      </c>
      <c r="J85" s="359">
        <f>IF(AI85=301,"",AI85)</f>
        <v>180</v>
      </c>
      <c r="K85" s="359" t="str">
        <f>IF(AJ85=0,"",AJ85)</f>
        <v/>
      </c>
      <c r="L85" s="359">
        <f>IF(AK85=301,"",AK85)</f>
        <v>196</v>
      </c>
      <c r="M85" s="359" t="str">
        <f>IF(AL85=0,"",AL85)</f>
        <v/>
      </c>
      <c r="N85" s="359">
        <f>IF(AM85=301,"",AM85)</f>
        <v>158</v>
      </c>
      <c r="O85" s="359" t="str">
        <f>IF(AN85=0,"",AN85)</f>
        <v/>
      </c>
      <c r="P85" s="359">
        <f>IF(AO85=301,"",AO85)</f>
        <v>147</v>
      </c>
      <c r="Q85" s="359" t="str">
        <f>IF(AP85=0,"",AP85)</f>
        <v/>
      </c>
      <c r="R85" s="359">
        <f>IF(AQ85=301,"",AQ85)</f>
        <v>185</v>
      </c>
      <c r="S85" s="359" t="str">
        <f>IF(AR85=0,"",AR85)</f>
        <v/>
      </c>
      <c r="T85" s="359">
        <f>IF(AS85=301,"",AS85)</f>
        <v>160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148</v>
      </c>
      <c r="AD85" s="366"/>
      <c r="AE85" s="365">
        <f>ABS(INDEX(AE:AE,MATCH(AE82,$AA:$AA,0)+5)+INDEX(AE:AE,MATCH(AE82,$AA:$AA,0)+6)+INDEX(AE:AE,MATCH(AE82,$AA:$AA,0)+7))</f>
        <v>166</v>
      </c>
      <c r="AF85" s="366"/>
      <c r="AG85" s="365">
        <f>ABS(INDEX(AG:AG,MATCH(AG82,$AA:$AA,0)+5)+INDEX(AG:AG,MATCH(AG82,$AA:$AA,0)+6)+INDEX(AG:AG,MATCH(AG82,$AA:$AA,0)+7))</f>
        <v>171</v>
      </c>
      <c r="AH85" s="366"/>
      <c r="AI85" s="365">
        <f>ABS(INDEX(AI:AI,MATCH(AI82,$AA:$AA,0)+5)+INDEX(AI:AI,MATCH(AI82,$AA:$AA,0)+6)+INDEX(AI:AI,MATCH(AI82,$AA:$AA,0)+7))</f>
        <v>180</v>
      </c>
      <c r="AJ85" s="366"/>
      <c r="AK85" s="365">
        <f>ABS(INDEX(AK:AK,MATCH(AK82,$AA:$AA,0)+5)+INDEX(AK:AK,MATCH(AK82,$AA:$AA,0)+6)+INDEX(AK:AK,MATCH(AK82,$AA:$AA,0)+7))</f>
        <v>196</v>
      </c>
      <c r="AL85" s="366"/>
      <c r="AM85" s="365">
        <f>ABS(INDEX(AM:AM,MATCH(AM82,$AA:$AA,0)+5)+INDEX(AM:AM,MATCH(AM82,$AA:$AA,0)+6)+INDEX(AM:AM,MATCH(AM82,$AA:$AA,0)+7))</f>
        <v>158</v>
      </c>
      <c r="AN85" s="366"/>
      <c r="AO85" s="365">
        <f>ABS(INDEX(AO:AO,MATCH(AO82,$AA:$AA,0)+5)+INDEX(AO:AO,MATCH(AO82,$AA:$AA,0)+6)+INDEX(AO:AO,MATCH(AO82,$AA:$AA,0)+7))</f>
        <v>147</v>
      </c>
      <c r="AP85" s="366"/>
      <c r="AQ85" s="365">
        <f>ABS(INDEX(AQ:AQ,MATCH(AQ82,$AA:$AA,0)+5)+INDEX(AQ:AQ,MATCH(AQ82,$AA:$AA,0)+6)+INDEX(AQ:AQ,MATCH(AQ82,$AA:$AA,0)+7))</f>
        <v>185</v>
      </c>
      <c r="AR85" s="366"/>
      <c r="AS85" s="365">
        <f>ABS(INDEX(AS:AS,MATCH(AS82,$AA:$AA,0)+5)+INDEX(AS:AS,MATCH(AS82,$AA:$AA,0)+6)+INDEX(AS:AS,MATCH(AS82,$AA:$AA,0)+7))</f>
        <v>160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5"/>
        <v>Spieler 2</v>
      </c>
      <c r="C86" s="372" t="str">
        <f t="shared" si="106"/>
        <v/>
      </c>
      <c r="D86" s="359">
        <f>IF(AC86=301,"",AC86)</f>
        <v>192</v>
      </c>
      <c r="E86" s="359" t="str">
        <f>IF(AD86=0,"",AD86)</f>
        <v/>
      </c>
      <c r="F86" s="359">
        <f>IF(AE86=301,"",AE86)</f>
        <v>146</v>
      </c>
      <c r="G86" s="359" t="str">
        <f>IF(AF86=0,"",AF86)</f>
        <v/>
      </c>
      <c r="H86" s="359">
        <f>IF(AG86=301,"",AG86)</f>
        <v>114</v>
      </c>
      <c r="I86" s="359" t="str">
        <f>IF(AH86=0,"",AH86)</f>
        <v/>
      </c>
      <c r="J86" s="359">
        <f>IF(AI86=301,"",AI86)</f>
        <v>191</v>
      </c>
      <c r="K86" s="359" t="str">
        <f>IF(AJ86=0,"",AJ86)</f>
        <v/>
      </c>
      <c r="L86" s="359">
        <f>IF(AK86=301,"",AK86)</f>
        <v>175</v>
      </c>
      <c r="M86" s="359" t="str">
        <f>IF(AL86=0,"",AL86)</f>
        <v/>
      </c>
      <c r="N86" s="359">
        <f>IF(AM86=301,"",AM86)</f>
        <v>139</v>
      </c>
      <c r="O86" s="359" t="str">
        <f>IF(AN86=0,"",AN86)</f>
        <v/>
      </c>
      <c r="P86" s="359">
        <f>IF(AO86=301,"",AO86)</f>
        <v>196</v>
      </c>
      <c r="Q86" s="359" t="str">
        <f>IF(AP86=0,"",AP86)</f>
        <v/>
      </c>
      <c r="R86" s="359">
        <f>IF(AQ86=301,"",AQ86)</f>
        <v>171</v>
      </c>
      <c r="S86" s="359" t="str">
        <f>IF(AR86=0,"",AR86)</f>
        <v/>
      </c>
      <c r="T86" s="359">
        <f>IF(AS86=301,"",AS86)</f>
        <v>190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192</v>
      </c>
      <c r="AD86" s="364"/>
      <c r="AE86" s="363">
        <f>ABS(INDEX(AE:AE,MATCH(AE82,$AA:$AA,0)+8)+INDEX(AE:AE,MATCH(AE82,$AA:$AA,0)+9)+INDEX(AE:AE,MATCH(AE82,$AA:$AA,0)+10))</f>
        <v>146</v>
      </c>
      <c r="AF86" s="364"/>
      <c r="AG86" s="363">
        <f>ABS(INDEX(AG:AG,MATCH(AG82,$AA:$AA,0)+8)+INDEX(AG:AG,MATCH(AG82,$AA:$AA,0)+9)+INDEX(AG:AG,MATCH(AG82,$AA:$AA,0)+10))</f>
        <v>114</v>
      </c>
      <c r="AH86" s="364"/>
      <c r="AI86" s="363">
        <f>ABS(INDEX(AI:AI,MATCH(AI82,$AA:$AA,0)+8)+INDEX(AI:AI,MATCH(AI82,$AA:$AA,0)+9)+INDEX(AI:AI,MATCH(AI82,$AA:$AA,0)+10))</f>
        <v>191</v>
      </c>
      <c r="AJ86" s="364"/>
      <c r="AK86" s="363">
        <f>ABS(INDEX(AK:AK,MATCH(AK82,$AA:$AA,0)+8)+INDEX(AK:AK,MATCH(AK82,$AA:$AA,0)+9)+INDEX(AK:AK,MATCH(AK82,$AA:$AA,0)+10))</f>
        <v>175</v>
      </c>
      <c r="AL86" s="364"/>
      <c r="AM86" s="363">
        <f>ABS(INDEX(AM:AM,MATCH(AM82,$AA:$AA,0)+8)+INDEX(AM:AM,MATCH(AM82,$AA:$AA,0)+9)+INDEX(AM:AM,MATCH(AM82,$AA:$AA,0)+10))</f>
        <v>139</v>
      </c>
      <c r="AN86" s="364"/>
      <c r="AO86" s="363">
        <f>ABS(INDEX(AO:AO,MATCH(AO82,$AA:$AA,0)+8)+INDEX(AO:AO,MATCH(AO82,$AA:$AA,0)+9)+INDEX(AO:AO,MATCH(AO82,$AA:$AA,0)+10))</f>
        <v>196</v>
      </c>
      <c r="AP86" s="364"/>
      <c r="AQ86" s="363">
        <f>ABS(INDEX(AQ:AQ,MATCH(AQ82,$AA:$AA,0)+8)+INDEX(AQ:AQ,MATCH(AQ82,$AA:$AA,0)+9)+INDEX(AQ:AQ,MATCH(AQ82,$AA:$AA,0)+10))</f>
        <v>171</v>
      </c>
      <c r="AR86" s="364"/>
      <c r="AS86" s="363">
        <f>ABS(INDEX(AS:AS,MATCH(AS82,$AA:$AA,0)+8)+INDEX(AS:AS,MATCH(AS82,$AA:$AA,0)+9)+INDEX(AS:AS,MATCH(AS82,$AA:$AA,0)+10))</f>
        <v>190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5"/>
        <v>Spieler 3</v>
      </c>
      <c r="C87" s="372" t="str">
        <f t="shared" si="106"/>
        <v/>
      </c>
      <c r="D87" s="359">
        <f>IF(AC87=301,"",AC87)</f>
        <v>177</v>
      </c>
      <c r="E87" s="359" t="str">
        <f>IF(AD87=0,"",AD87)</f>
        <v/>
      </c>
      <c r="F87" s="359">
        <f>IF(AE87=301,"",AE87)</f>
        <v>172</v>
      </c>
      <c r="G87" s="359" t="str">
        <f>IF(AF87=0,"",AF87)</f>
        <v/>
      </c>
      <c r="H87" s="359">
        <f>IF(AG87=301,"",AG87)</f>
        <v>163</v>
      </c>
      <c r="I87" s="359" t="str">
        <f>IF(AH87=0,"",AH87)</f>
        <v/>
      </c>
      <c r="J87" s="359">
        <f>IF(AI87=301,"",AI87)</f>
        <v>136</v>
      </c>
      <c r="K87" s="359" t="str">
        <f>IF(AJ87=0,"",AJ87)</f>
        <v/>
      </c>
      <c r="L87" s="359">
        <f>IF(AK87=301,"",AK87)</f>
        <v>213</v>
      </c>
      <c r="M87" s="359" t="str">
        <f>IF(AL87=0,"",AL87)</f>
        <v/>
      </c>
      <c r="N87" s="359">
        <f>IF(AM87=301,"",AM87)</f>
        <v>173</v>
      </c>
      <c r="O87" s="359" t="str">
        <f>IF(AN87=0,"",AN87)</f>
        <v/>
      </c>
      <c r="P87" s="359">
        <f>IF(AO87=301,"",AO87)</f>
        <v>201</v>
      </c>
      <c r="Q87" s="359" t="str">
        <f>IF(AP87=0,"",AP87)</f>
        <v/>
      </c>
      <c r="R87" s="359">
        <f>IF(AQ87=301,"",AQ87)</f>
        <v>179</v>
      </c>
      <c r="S87" s="359" t="str">
        <f>IF(AR87=0,"",AR87)</f>
        <v/>
      </c>
      <c r="T87" s="359">
        <f>IF(AS87=301,"",AS87)</f>
        <v>195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177</v>
      </c>
      <c r="AD87" s="364"/>
      <c r="AE87" s="363">
        <f>ABS(INDEX(AE:AE,MATCH(AE82,$AA:$AA,0)+11)+INDEX(AE:AE,MATCH(AE82,$AA:$AA,0)+12)+INDEX(AE:AE,MATCH(AE82,$AA:$AA,0)+13))</f>
        <v>172</v>
      </c>
      <c r="AF87" s="364"/>
      <c r="AG87" s="363">
        <f>ABS(INDEX(AG:AG,MATCH(AG82,$AA:$AA,0)+11)+INDEX(AG:AG,MATCH(AG82,$AA:$AA,0)+12)+INDEX(AG:AG,MATCH(AG82,$AA:$AA,0)+13))</f>
        <v>163</v>
      </c>
      <c r="AH87" s="364"/>
      <c r="AI87" s="363">
        <f>ABS(INDEX(AI:AI,MATCH(AI82,$AA:$AA,0)+11)+INDEX(AI:AI,MATCH(AI82,$AA:$AA,0)+12)+INDEX(AI:AI,MATCH(AI82,$AA:$AA,0)+13))</f>
        <v>136</v>
      </c>
      <c r="AJ87" s="364"/>
      <c r="AK87" s="363">
        <f>ABS(INDEX(AK:AK,MATCH(AK82,$AA:$AA,0)+11)+INDEX(AK:AK,MATCH(AK82,$AA:$AA,0)+12)+INDEX(AK:AK,MATCH(AK82,$AA:$AA,0)+13))</f>
        <v>213</v>
      </c>
      <c r="AL87" s="364"/>
      <c r="AM87" s="363">
        <f>ABS(INDEX(AM:AM,MATCH(AM82,$AA:$AA,0)+11)+INDEX(AM:AM,MATCH(AM82,$AA:$AA,0)+12)+INDEX(AM:AM,MATCH(AM82,$AA:$AA,0)+13))</f>
        <v>173</v>
      </c>
      <c r="AN87" s="364"/>
      <c r="AO87" s="363">
        <f>ABS(INDEX(AO:AO,MATCH(AO82,$AA:$AA,0)+11)+INDEX(AO:AO,MATCH(AO82,$AA:$AA,0)+12)+INDEX(AO:AO,MATCH(AO82,$AA:$AA,0)+13))</f>
        <v>201</v>
      </c>
      <c r="AP87" s="364"/>
      <c r="AQ87" s="363">
        <f>ABS(INDEX(AQ:AQ,MATCH(AQ82,$AA:$AA,0)+11)+INDEX(AQ:AQ,MATCH(AQ82,$AA:$AA,0)+12)+INDEX(AQ:AQ,MATCH(AQ82,$AA:$AA,0)+13))</f>
        <v>179</v>
      </c>
      <c r="AR87" s="364"/>
      <c r="AS87" s="363">
        <f>ABS(INDEX(AS:AS,MATCH(AS82,$AA:$AA,0)+11)+INDEX(AS:AS,MATCH(AS82,$AA:$AA,0)+12)+INDEX(AS:AS,MATCH(AS82,$AA:$AA,0)+13))</f>
        <v>195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5"/>
        <v>Spieler 4</v>
      </c>
      <c r="C88" s="372" t="str">
        <f t="shared" si="106"/>
        <v/>
      </c>
      <c r="D88" s="359">
        <f>IF(AC88=301,"",AC88)</f>
        <v>170</v>
      </c>
      <c r="E88" s="359" t="str">
        <f>IF(AD88=0,"",AD88)</f>
        <v/>
      </c>
      <c r="F88" s="359">
        <f>IF(AE88=301,"",AE88)</f>
        <v>166</v>
      </c>
      <c r="G88" s="359" t="str">
        <f>IF(AF88=0,"",AF88)</f>
        <v/>
      </c>
      <c r="H88" s="359">
        <f>IF(AG88=301,"",AG88)</f>
        <v>156</v>
      </c>
      <c r="I88" s="359" t="str">
        <f>IF(AH88=0,"",AH88)</f>
        <v/>
      </c>
      <c r="J88" s="359">
        <f>IF(AI88=301,"",AI88)</f>
        <v>167</v>
      </c>
      <c r="K88" s="359" t="str">
        <f>IF(AJ88=0,"",AJ88)</f>
        <v/>
      </c>
      <c r="L88" s="359">
        <f>IF(AK88=301,"",AK88)</f>
        <v>179</v>
      </c>
      <c r="M88" s="359" t="str">
        <f>IF(AL88=0,"",AL88)</f>
        <v/>
      </c>
      <c r="N88" s="359">
        <f>IF(AM88=301,"",AM88)</f>
        <v>264</v>
      </c>
      <c r="O88" s="359" t="str">
        <f>IF(AN88=0,"",AN88)</f>
        <v/>
      </c>
      <c r="P88" s="359">
        <f>IF(AO88=301,"",AO88)</f>
        <v>220</v>
      </c>
      <c r="Q88" s="359" t="str">
        <f>IF(AP88=0,"",AP88)</f>
        <v/>
      </c>
      <c r="R88" s="359">
        <f>IF(AQ88=301,"",AQ88)</f>
        <v>152</v>
      </c>
      <c r="S88" s="359" t="str">
        <f>IF(AR88=0,"",AR88)</f>
        <v/>
      </c>
      <c r="T88" s="359">
        <f>IF(AS88=301,"",AS88)</f>
        <v>191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170</v>
      </c>
      <c r="AD88" s="364"/>
      <c r="AE88" s="363">
        <f>ABS(INDEX(AE:AE,MATCH(AE82,$AA:$AA,0)+14)+INDEX(AE:AE,MATCH(AE82,$AA:$AA,0)+15)+INDEX(AE:AE,MATCH(AE82,$AA:$AA,0)+16))</f>
        <v>166</v>
      </c>
      <c r="AF88" s="364"/>
      <c r="AG88" s="363">
        <f>ABS(INDEX(AG:AG,MATCH(AG82,$AA:$AA,0)+14)+INDEX(AG:AG,MATCH(AG82,$AA:$AA,0)+15)+INDEX(AG:AG,MATCH(AG82,$AA:$AA,0)+16))</f>
        <v>156</v>
      </c>
      <c r="AH88" s="364"/>
      <c r="AI88" s="363">
        <f>ABS(INDEX(AI:AI,MATCH(AI82,$AA:$AA,0)+14)+INDEX(AI:AI,MATCH(AI82,$AA:$AA,0)+15)+INDEX(AI:AI,MATCH(AI82,$AA:$AA,0)+16))</f>
        <v>167</v>
      </c>
      <c r="AJ88" s="364"/>
      <c r="AK88" s="363">
        <f>ABS(INDEX(AK:AK,MATCH(AK82,$AA:$AA,0)+14)+INDEX(AK:AK,MATCH(AK82,$AA:$AA,0)+15)+INDEX(AK:AK,MATCH(AK82,$AA:$AA,0)+16))</f>
        <v>179</v>
      </c>
      <c r="AL88" s="364"/>
      <c r="AM88" s="363">
        <f>ABS(INDEX(AM:AM,MATCH(AM82,$AA:$AA,0)+14)+INDEX(AM:AM,MATCH(AM82,$AA:$AA,0)+15)+INDEX(AM:AM,MATCH(AM82,$AA:$AA,0)+16))</f>
        <v>264</v>
      </c>
      <c r="AN88" s="364"/>
      <c r="AO88" s="363">
        <f>ABS(INDEX(AO:AO,MATCH(AO82,$AA:$AA,0)+14)+INDEX(AO:AO,MATCH(AO82,$AA:$AA,0)+15)+INDEX(AO:AO,MATCH(AO82,$AA:$AA,0)+16))</f>
        <v>220</v>
      </c>
      <c r="AP88" s="364"/>
      <c r="AQ88" s="363">
        <f>ABS(INDEX(AQ:AQ,MATCH(AQ82,$AA:$AA,0)+14)+INDEX(AQ:AQ,MATCH(AQ82,$AA:$AA,0)+15)+INDEX(AQ:AQ,MATCH(AQ82,$AA:$AA,0)+16))</f>
        <v>152</v>
      </c>
      <c r="AR88" s="364"/>
      <c r="AS88" s="363">
        <f>ABS(INDEX(AS:AS,MATCH(AS82,$AA:$AA,0)+14)+INDEX(AS:AS,MATCH(AS82,$AA:$AA,0)+15)+INDEX(AS:AS,MATCH(AS82,$AA:$AA,0)+16))</f>
        <v>191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5"/>
        <v>Gesamt</v>
      </c>
      <c r="C89" s="344" t="str">
        <f t="shared" si="106"/>
        <v/>
      </c>
      <c r="D89" s="362">
        <f>IF(AC89=1505,"",AC89)</f>
        <v>687</v>
      </c>
      <c r="E89" s="362" t="str">
        <f>IF(AD89=0,"",AD89)</f>
        <v/>
      </c>
      <c r="F89" s="362">
        <f>IF(AE89=1505,"",AE89)</f>
        <v>650</v>
      </c>
      <c r="G89" s="362" t="str">
        <f>IF(AF89=0,"",AF89)</f>
        <v/>
      </c>
      <c r="H89" s="362">
        <f>IF(AG89=1505,"",AG89)</f>
        <v>604</v>
      </c>
      <c r="I89" s="362" t="str">
        <f>IF(AH89=0,"",AH89)</f>
        <v/>
      </c>
      <c r="J89" s="362">
        <f>IF(AI89=1505,"",AI89)</f>
        <v>674</v>
      </c>
      <c r="K89" s="362" t="str">
        <f>IF(AJ89=0,"",AJ89)</f>
        <v/>
      </c>
      <c r="L89" s="362">
        <f>IF(AK89=1505,"",AK89)</f>
        <v>763</v>
      </c>
      <c r="M89" s="362" t="str">
        <f>IF(AL89=0,"",AL89)</f>
        <v/>
      </c>
      <c r="N89" s="362">
        <f>IF(AM89=1505,"",AM89)</f>
        <v>734</v>
      </c>
      <c r="O89" s="362" t="str">
        <f>IF(AN89=0,"",AN89)</f>
        <v/>
      </c>
      <c r="P89" s="362">
        <f>IF(AO89=1505,"",AO89)</f>
        <v>764</v>
      </c>
      <c r="Q89" s="362" t="str">
        <f>IF(AP89=0,"",AP89)</f>
        <v/>
      </c>
      <c r="R89" s="362">
        <f>IF(AQ89=1505,"",AQ89)</f>
        <v>687</v>
      </c>
      <c r="S89" s="362" t="str">
        <f>IF(AR89=0,"",AR89)</f>
        <v/>
      </c>
      <c r="T89" s="362">
        <f>IF(AS89=1505,"",AS89)</f>
        <v>736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687</v>
      </c>
      <c r="AD89" s="344"/>
      <c r="AE89" s="343">
        <f>SUM(AE85:AE88)</f>
        <v>650</v>
      </c>
      <c r="AF89" s="344"/>
      <c r="AG89" s="343">
        <f>SUM(AG85:AG88)</f>
        <v>604</v>
      </c>
      <c r="AH89" s="344"/>
      <c r="AI89" s="343">
        <f>SUM(AI85:AI88)</f>
        <v>674</v>
      </c>
      <c r="AJ89" s="344"/>
      <c r="AK89" s="343">
        <f>SUM(AK85:AK88)</f>
        <v>763</v>
      </c>
      <c r="AL89" s="344"/>
      <c r="AM89" s="343">
        <f>SUM(AM85:AM88)</f>
        <v>734</v>
      </c>
      <c r="AN89" s="344"/>
      <c r="AO89" s="343">
        <f>SUM(AO85:AO88)</f>
        <v>764</v>
      </c>
      <c r="AP89" s="344"/>
      <c r="AQ89" s="343">
        <f>SUM(AQ85:AQ88)</f>
        <v>687</v>
      </c>
      <c r="AR89" s="344"/>
      <c r="AS89" s="343">
        <f>SUM(AS85:AS88)</f>
        <v>736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12.10./13.10.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12.10./13.10.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>
        <f>IF(AC97=0,"",AC97)</f>
        <v>178</v>
      </c>
      <c r="E97" s="345">
        <f>IF(AD97="","",AD97)</f>
        <v>0</v>
      </c>
      <c r="F97" s="75">
        <f t="shared" ref="F97:F110" si="109">IF(AE97=0,"",AE97)</f>
        <v>156</v>
      </c>
      <c r="G97" s="345">
        <f>IF(AF97="","",AF97)</f>
        <v>0</v>
      </c>
      <c r="H97" s="75">
        <f t="shared" ref="H97:H110" si="110">IF(AG97=0,"",AG97)</f>
        <v>181</v>
      </c>
      <c r="I97" s="345">
        <f>IF(AH97="","",AH97)</f>
        <v>1</v>
      </c>
      <c r="J97" s="75">
        <f t="shared" ref="J97:J110" si="111">IF(AI97=0,"",AI97)</f>
        <v>222</v>
      </c>
      <c r="K97" s="345">
        <f>IF(AJ97="","",AJ97)</f>
        <v>1</v>
      </c>
      <c r="L97" s="75">
        <f t="shared" ref="L97:L110" si="112">IF(AK97=0,"",AK97)</f>
        <v>188</v>
      </c>
      <c r="M97" s="345">
        <f>IF(AL97="","",AL97)</f>
        <v>1</v>
      </c>
      <c r="N97" s="75">
        <f>IF(AM97=0,"",AM97)</f>
        <v>135</v>
      </c>
      <c r="O97" s="345">
        <f>IF(AN97="","",AN97)</f>
        <v>0</v>
      </c>
      <c r="P97" s="75">
        <f t="shared" ref="P97:P110" si="113">IF(AO97=0,"",AO97)</f>
        <v>194</v>
      </c>
      <c r="Q97" s="345">
        <f>IF(AP97="","",AP97)</f>
        <v>0.5</v>
      </c>
      <c r="R97" s="75">
        <f t="shared" ref="R97:R110" si="114">IF(AQ97=0,"",AQ97)</f>
        <v>185</v>
      </c>
      <c r="S97" s="345">
        <f>IF(AR97="","",AR97)</f>
        <v>1</v>
      </c>
      <c r="T97" s="75">
        <f t="shared" ref="T97:T110" si="115">IF(AS97=0,"",AS97)</f>
        <v>167</v>
      </c>
      <c r="U97" s="345">
        <f>IF(AT97="","",AT97)</f>
        <v>0</v>
      </c>
      <c r="V97" s="75">
        <f t="shared" ref="V97:V110" si="116">IF(AU97=0,"",AU97)</f>
        <v>1606</v>
      </c>
      <c r="W97" s="345">
        <f>IF(AV97="","",AV97)</f>
        <v>4.5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>
        <v>178</v>
      </c>
      <c r="AD97" s="109">
        <f>IF(SUM(AC97:AC99)+AC115=0,0,IF(SUM(ABS(AC97),ABS(AC98),ABS(AC99))=AC115,0.5,IF(SUM(ABS(AC97),ABS(AC98),ABS(AC99))&gt;AC115,1,0)))</f>
        <v>0</v>
      </c>
      <c r="AE97" s="185">
        <v>156</v>
      </c>
      <c r="AF97" s="109">
        <f>IF(SUM(AE97:AE99)+AE115=0,0,IF(SUM(ABS(AE97),ABS(AE98),ABS(AE99))=AE115,0.5,IF(SUM(ABS(AE97),ABS(AE98),ABS(AE99))&gt;AE115,1,0)))</f>
        <v>0</v>
      </c>
      <c r="AG97" s="185">
        <v>181</v>
      </c>
      <c r="AH97" s="109">
        <f>IF(SUM(AG97:AG99)+AG115=0,0,IF(SUM(ABS(AG97),ABS(AG98),ABS(AG99))=AG115,0.5,IF(SUM(ABS(AG97),ABS(AG98),ABS(AG99))&gt;AG115,1,0)))</f>
        <v>1</v>
      </c>
      <c r="AI97" s="185">
        <v>222</v>
      </c>
      <c r="AJ97" s="109">
        <f>IF(SUM(AI97:AI99)+AI115=0,0,IF(SUM(ABS(AI97),ABS(AI98),ABS(AI99))=AI115,0.5,IF(SUM(ABS(AI97),ABS(AI98),ABS(AI99))&gt;AI115,1,0)))</f>
        <v>1</v>
      </c>
      <c r="AK97" s="185">
        <v>188</v>
      </c>
      <c r="AL97" s="109">
        <f>IF(SUM(AK97:AK99)+AK115=0,0,IF(SUM(ABS(AK97),ABS(AK98),ABS(AK99))=AK115,0.5,IF(SUM(ABS(AK97),ABS(AK98),ABS(AK99))&gt;AK115,1,0)))</f>
        <v>1</v>
      </c>
      <c r="AM97" s="185">
        <v>135</v>
      </c>
      <c r="AN97" s="109">
        <f>IF(SUM(AM97:AM99)+AM115=0,0,IF(SUM(ABS(AM97),ABS(AM98),ABS(AM99))=AM115,0.5,IF(SUM(ABS(AM97),ABS(AM98),ABS(AM99))&gt;AM115,1,0)))</f>
        <v>0</v>
      </c>
      <c r="AO97" s="185">
        <v>194</v>
      </c>
      <c r="AP97" s="109">
        <f>IF(SUM(AO97:AO99)+AO115=0,0,IF(SUM(ABS(AO97),ABS(AO98),ABS(AO99))=AO115,0.5,IF(SUM(ABS(AO97),ABS(AO98),ABS(AO99))&gt;AO115,1,0)))</f>
        <v>0.5</v>
      </c>
      <c r="AQ97" s="185">
        <v>185</v>
      </c>
      <c r="AR97" s="109">
        <f>IF(SUM(AQ97:AQ99)+AQ115=0,0,IF(SUM(ABS(AQ97),ABS(AQ98),ABS(AQ99))=AQ115,0.5,IF(SUM(ABS(AQ97),ABS(AQ98),ABS(AQ99))&gt;AQ115,1,0)))</f>
        <v>1</v>
      </c>
      <c r="AS97" s="185">
        <v>167</v>
      </c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1606</v>
      </c>
      <c r="AV97" s="111">
        <f>SUM(AD97+AF97+AH97+AJ97+AL97+AN97+AP97+AR97+AT97)</f>
        <v>4.5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1606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178</v>
      </c>
      <c r="BI97" s="215">
        <f t="shared" ref="BI97:BI108" si="119">IF(AE97=0,"",AE97)</f>
        <v>156</v>
      </c>
      <c r="BJ97" s="215">
        <f t="shared" ref="BJ97:BJ108" si="120">IF(AG97=0,"",AG97)</f>
        <v>181</v>
      </c>
      <c r="BK97" s="215">
        <f t="shared" ref="BK97:BK108" si="121">IF(AI97=0,"",AI97)</f>
        <v>222</v>
      </c>
      <c r="BL97" s="215">
        <f t="shared" ref="BL97:BL108" si="122">IF(AK97=0,"",AK97)</f>
        <v>188</v>
      </c>
      <c r="BM97" s="215">
        <f t="shared" ref="BM97:BM108" si="123">IF(AM97=0,"",AM97)</f>
        <v>135</v>
      </c>
      <c r="BN97" s="215">
        <f t="shared" ref="BN97:BN108" si="124">IF(AO97=0,"",AO97)</f>
        <v>194</v>
      </c>
      <c r="BO97" s="215">
        <f t="shared" ref="BO97:BO108" si="125">IF(AQ97=0,"",AQ97)</f>
        <v>185</v>
      </c>
      <c r="BP97" s="215">
        <f t="shared" ref="BP97:BP108" si="126">IF(AS97=0,"",AS97)</f>
        <v>167</v>
      </c>
      <c r="BQ97" s="216"/>
      <c r="BR97" s="214"/>
      <c r="BS97" s="215">
        <f>MAX(BH97:BP97)</f>
        <v>222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1606</v>
      </c>
      <c r="BX97" s="215">
        <f>IF(COUNTIF(BH97:BP97,"&gt;0")&lt;Spielorte!$A$23,0,BE97/Spielorte!$A$23)</f>
        <v>178.44444444444446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4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6"/>
      <c r="F98" s="78" t="str">
        <f t="shared" si="109"/>
        <v/>
      </c>
      <c r="G98" s="346"/>
      <c r="H98" s="78" t="str">
        <f t="shared" si="110"/>
        <v/>
      </c>
      <c r="I98" s="346"/>
      <c r="J98" s="78" t="str">
        <f t="shared" si="111"/>
        <v/>
      </c>
      <c r="K98" s="346"/>
      <c r="L98" s="78" t="str">
        <f t="shared" si="112"/>
        <v/>
      </c>
      <c r="M98" s="346"/>
      <c r="N98" s="78" t="str">
        <f t="shared" ref="N98:N110" si="131">IF(AM98=0,"",AM98)</f>
        <v/>
      </c>
      <c r="O98" s="346"/>
      <c r="P98" s="78" t="str">
        <f t="shared" si="113"/>
        <v/>
      </c>
      <c r="Q98" s="346"/>
      <c r="R98" s="78" t="str">
        <f t="shared" si="114"/>
        <v/>
      </c>
      <c r="S98" s="346"/>
      <c r="T98" s="78" t="str">
        <f t="shared" si="115"/>
        <v/>
      </c>
      <c r="U98" s="346"/>
      <c r="V98" s="78" t="str">
        <f t="shared" si="116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5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7"/>
      <c r="F99" s="69" t="str">
        <f t="shared" si="109"/>
        <v/>
      </c>
      <c r="G99" s="347"/>
      <c r="H99" s="69" t="str">
        <f t="shared" si="110"/>
        <v/>
      </c>
      <c r="I99" s="347"/>
      <c r="J99" s="69" t="str">
        <f t="shared" si="111"/>
        <v/>
      </c>
      <c r="K99" s="347"/>
      <c r="L99" s="69" t="str">
        <f t="shared" si="112"/>
        <v/>
      </c>
      <c r="M99" s="347"/>
      <c r="N99" s="69" t="str">
        <f t="shared" si="131"/>
        <v/>
      </c>
      <c r="O99" s="347"/>
      <c r="P99" s="69" t="str">
        <f t="shared" si="113"/>
        <v/>
      </c>
      <c r="Q99" s="347"/>
      <c r="R99" s="69" t="str">
        <f t="shared" si="114"/>
        <v/>
      </c>
      <c r="S99" s="347"/>
      <c r="T99" s="69" t="str">
        <f t="shared" si="115"/>
        <v/>
      </c>
      <c r="U99" s="347"/>
      <c r="V99" s="69" t="str">
        <f t="shared" si="116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3" t="s">
        <v>2</v>
      </c>
      <c r="B100" s="73" t="str">
        <f t="shared" si="128"/>
        <v>Waigel, Petra</v>
      </c>
      <c r="C100" s="74">
        <f t="shared" si="129"/>
        <v>7061</v>
      </c>
      <c r="D100" s="75">
        <f t="shared" si="130"/>
        <v>182</v>
      </c>
      <c r="E100" s="345">
        <f>IF(AD100="","",AD100)</f>
        <v>1</v>
      </c>
      <c r="F100" s="75">
        <f t="shared" si="109"/>
        <v>158</v>
      </c>
      <c r="G100" s="345">
        <f>IF(AF100="","",AF100)</f>
        <v>0</v>
      </c>
      <c r="H100" s="75">
        <f t="shared" si="110"/>
        <v>196</v>
      </c>
      <c r="I100" s="345">
        <f>IF(AH100="","",AH100)</f>
        <v>1</v>
      </c>
      <c r="J100" s="75">
        <f t="shared" si="111"/>
        <v>148</v>
      </c>
      <c r="K100" s="345">
        <f>IF(AJ100="","",AJ100)</f>
        <v>0</v>
      </c>
      <c r="L100" s="75">
        <f t="shared" si="112"/>
        <v>212</v>
      </c>
      <c r="M100" s="345">
        <f>IF(AL100="","",AL100)</f>
        <v>1</v>
      </c>
      <c r="N100" s="75">
        <f t="shared" si="131"/>
        <v>152</v>
      </c>
      <c r="O100" s="345">
        <f>IF(AN100="","",AN100)</f>
        <v>0</v>
      </c>
      <c r="P100" s="75">
        <f t="shared" si="113"/>
        <v>177</v>
      </c>
      <c r="Q100" s="345">
        <f>IF(AP100="","",AP100)</f>
        <v>0</v>
      </c>
      <c r="R100" s="75">
        <f t="shared" si="114"/>
        <v>171</v>
      </c>
      <c r="S100" s="345">
        <f>IF(AR100="","",AR100)</f>
        <v>1</v>
      </c>
      <c r="T100" s="75">
        <f t="shared" si="115"/>
        <v>170</v>
      </c>
      <c r="U100" s="345">
        <f>IF(AT100="","",AT100)</f>
        <v>1</v>
      </c>
      <c r="V100" s="75">
        <f t="shared" si="116"/>
        <v>1566</v>
      </c>
      <c r="W100" s="345">
        <f>IF(AV100="","",AV100)</f>
        <v>5</v>
      </c>
      <c r="Z100" s="348" t="s">
        <v>2</v>
      </c>
      <c r="AA100" s="108" t="str">
        <f>IF(AB100=0,"",VLOOKUP(AB100,Starter!$A$1:$D$199,2,FALSE))</f>
        <v>Waigel, Petra</v>
      </c>
      <c r="AB100" s="99">
        <v>7061</v>
      </c>
      <c r="AC100" s="188">
        <v>182</v>
      </c>
      <c r="AD100" s="109">
        <f>IF(SUM(AC100:AC102)+AC116=0,0,IF(SUM(ABS(AC100),ABS(AC101),ABS(AC102))=AC116,0.5,IF(SUM(ABS(AC100),ABS(AC101),ABS(AC102))&gt;AC116,1,0)))</f>
        <v>1</v>
      </c>
      <c r="AE100" s="188">
        <v>158</v>
      </c>
      <c r="AF100" s="109">
        <f>IF(SUM(AE100:AE102)+AE116=0,0,IF(SUM(ABS(AE100),ABS(AE101),ABS(AE102))=AE116,0.5,IF(SUM(ABS(AE100),ABS(AE101),ABS(AE102))&gt;AE116,1,0)))</f>
        <v>0</v>
      </c>
      <c r="AG100" s="188">
        <v>196</v>
      </c>
      <c r="AH100" s="109">
        <f>IF(SUM(AG100:AG102)+AG116=0,0,IF(SUM(ABS(AG100),ABS(AG101),ABS(AG102))=AG116,0.5,IF(SUM(ABS(AG100),ABS(AG101),ABS(AG102))&gt;AG116,1,0)))</f>
        <v>1</v>
      </c>
      <c r="AI100" s="188">
        <v>148</v>
      </c>
      <c r="AJ100" s="109">
        <f>IF(SUM(AI100:AI102)+AI116=0,0,IF(SUM(ABS(AI100),ABS(AI101),ABS(AI102))=AI116,0.5,IF(SUM(ABS(AI100),ABS(AI101),ABS(AI102))&gt;AI116,1,0)))</f>
        <v>0</v>
      </c>
      <c r="AK100" s="188">
        <v>212</v>
      </c>
      <c r="AL100" s="109">
        <f>IF(SUM(AK100:AK102)+AK116=0,0,IF(SUM(ABS(AK100),ABS(AK101),ABS(AK102))=AK116,0.5,IF(SUM(ABS(AK100),ABS(AK101),ABS(AK102))&gt;AK116,1,0)))</f>
        <v>1</v>
      </c>
      <c r="AM100" s="188">
        <v>152</v>
      </c>
      <c r="AN100" s="109">
        <f>IF(SUM(AM100:AM102)+AM116=0,0,IF(SUM(ABS(AM100),ABS(AM101),ABS(AM102))=AM116,0.5,IF(SUM(ABS(AM100),ABS(AM101),ABS(AM102))&gt;AM116,1,0)))</f>
        <v>0</v>
      </c>
      <c r="AO100" s="188">
        <v>177</v>
      </c>
      <c r="AP100" s="109">
        <f>IF(SUM(AO100:AO102)+AO116=0,0,IF(SUM(ABS(AO100),ABS(AO101),ABS(AO102))=AO116,0.5,IF(SUM(ABS(AO100),ABS(AO101),ABS(AO102))&gt;AO116,1,0)))</f>
        <v>0</v>
      </c>
      <c r="AQ100" s="188">
        <v>171</v>
      </c>
      <c r="AR100" s="109">
        <f>IF(SUM(AQ100:AQ102)+AQ116=0,0,IF(SUM(ABS(AQ100),ABS(AQ101),ABS(AQ102))=AQ116,0.5,IF(SUM(ABS(AQ100),ABS(AQ101),ABS(AQ102))&gt;AQ116,1,0)))</f>
        <v>1</v>
      </c>
      <c r="AS100" s="188">
        <v>170</v>
      </c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1566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1566</v>
      </c>
      <c r="BF100" s="215">
        <f t="shared" si="134"/>
        <v>9</v>
      </c>
      <c r="BG100" s="215">
        <f t="shared" si="135"/>
        <v>9</v>
      </c>
      <c r="BH100" s="215">
        <f t="shared" si="118"/>
        <v>182</v>
      </c>
      <c r="BI100" s="215">
        <f t="shared" si="119"/>
        <v>158</v>
      </c>
      <c r="BJ100" s="215">
        <f t="shared" si="120"/>
        <v>196</v>
      </c>
      <c r="BK100" s="215">
        <f t="shared" si="121"/>
        <v>148</v>
      </c>
      <c r="BL100" s="215">
        <f t="shared" si="122"/>
        <v>212</v>
      </c>
      <c r="BM100" s="215">
        <f t="shared" si="123"/>
        <v>152</v>
      </c>
      <c r="BN100" s="215">
        <f t="shared" si="124"/>
        <v>177</v>
      </c>
      <c r="BO100" s="215">
        <f t="shared" si="125"/>
        <v>171</v>
      </c>
      <c r="BP100" s="215">
        <f t="shared" si="126"/>
        <v>170</v>
      </c>
      <c r="BQ100" s="216"/>
      <c r="BR100" s="214"/>
      <c r="BS100" s="215">
        <f t="shared" si="136"/>
        <v>212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1566</v>
      </c>
      <c r="BX100" s="215">
        <f>IF(COUNTIF(BH100:BP100,"&gt;0")&lt;Spielorte!$A$23,0,BE100/Spielorte!$A$23)</f>
        <v>174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4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6"/>
      <c r="F101" s="78" t="str">
        <f t="shared" si="109"/>
        <v/>
      </c>
      <c r="G101" s="346"/>
      <c r="H101" s="78" t="str">
        <f t="shared" si="110"/>
        <v/>
      </c>
      <c r="I101" s="346"/>
      <c r="J101" s="78" t="str">
        <f t="shared" si="111"/>
        <v/>
      </c>
      <c r="K101" s="346"/>
      <c r="L101" s="78" t="str">
        <f t="shared" si="112"/>
        <v/>
      </c>
      <c r="M101" s="346"/>
      <c r="N101" s="78" t="str">
        <f t="shared" si="131"/>
        <v/>
      </c>
      <c r="O101" s="346"/>
      <c r="P101" s="78" t="str">
        <f t="shared" si="113"/>
        <v/>
      </c>
      <c r="Q101" s="346"/>
      <c r="R101" s="78" t="str">
        <f t="shared" si="114"/>
        <v/>
      </c>
      <c r="S101" s="346"/>
      <c r="T101" s="78" t="str">
        <f t="shared" si="115"/>
        <v/>
      </c>
      <c r="U101" s="346"/>
      <c r="V101" s="78" t="str">
        <f t="shared" si="116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5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7"/>
      <c r="F102" s="69" t="str">
        <f t="shared" si="109"/>
        <v/>
      </c>
      <c r="G102" s="347"/>
      <c r="H102" s="69" t="str">
        <f t="shared" si="110"/>
        <v/>
      </c>
      <c r="I102" s="347"/>
      <c r="J102" s="69" t="str">
        <f t="shared" si="111"/>
        <v/>
      </c>
      <c r="K102" s="347"/>
      <c r="L102" s="69" t="str">
        <f t="shared" si="112"/>
        <v/>
      </c>
      <c r="M102" s="347"/>
      <c r="N102" s="69" t="str">
        <f t="shared" si="131"/>
        <v/>
      </c>
      <c r="O102" s="347"/>
      <c r="P102" s="69" t="str">
        <f t="shared" si="113"/>
        <v/>
      </c>
      <c r="Q102" s="347"/>
      <c r="R102" s="69" t="str">
        <f t="shared" si="114"/>
        <v/>
      </c>
      <c r="S102" s="347"/>
      <c r="T102" s="69" t="str">
        <f t="shared" si="115"/>
        <v/>
      </c>
      <c r="U102" s="347"/>
      <c r="V102" s="69" t="str">
        <f t="shared" si="116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3" t="s">
        <v>3</v>
      </c>
      <c r="B103" s="73" t="str">
        <f t="shared" si="128"/>
        <v>Hueber, Claudia</v>
      </c>
      <c r="C103" s="74">
        <f t="shared" si="129"/>
        <v>25550</v>
      </c>
      <c r="D103" s="75">
        <f t="shared" si="130"/>
        <v>139</v>
      </c>
      <c r="E103" s="345">
        <f>IF(AD103="","",AD103)</f>
        <v>0</v>
      </c>
      <c r="F103" s="75">
        <f t="shared" si="109"/>
        <v>163</v>
      </c>
      <c r="G103" s="345">
        <f>IF(AF103="","",AF103)</f>
        <v>1</v>
      </c>
      <c r="H103" s="75">
        <f t="shared" si="110"/>
        <v>151</v>
      </c>
      <c r="I103" s="345">
        <f>IF(AH103="","",AH103)</f>
        <v>0</v>
      </c>
      <c r="J103" s="75">
        <f t="shared" si="111"/>
        <v>163</v>
      </c>
      <c r="K103" s="345">
        <f>IF(AJ103="","",AJ103)</f>
        <v>1</v>
      </c>
      <c r="L103" s="75" t="str">
        <f t="shared" si="112"/>
        <v/>
      </c>
      <c r="M103" s="345">
        <f>IF(AL103="","",AL103)</f>
        <v>0</v>
      </c>
      <c r="N103" s="75" t="str">
        <f t="shared" si="131"/>
        <v/>
      </c>
      <c r="O103" s="345">
        <f>IF(AN103="","",AN103)</f>
        <v>0</v>
      </c>
      <c r="P103" s="75" t="str">
        <f t="shared" si="113"/>
        <v/>
      </c>
      <c r="Q103" s="345">
        <f>IF(AP103="","",AP103)</f>
        <v>0</v>
      </c>
      <c r="R103" s="75" t="str">
        <f t="shared" si="114"/>
        <v/>
      </c>
      <c r="S103" s="345">
        <f>IF(AR103="","",AR103)</f>
        <v>0</v>
      </c>
      <c r="T103" s="75" t="str">
        <f t="shared" si="115"/>
        <v/>
      </c>
      <c r="U103" s="345">
        <f>IF(AT103="","",AT103)</f>
        <v>1</v>
      </c>
      <c r="V103" s="75">
        <f t="shared" si="116"/>
        <v>616</v>
      </c>
      <c r="W103" s="345">
        <f>IF(AV103="","",AV103)</f>
        <v>3</v>
      </c>
      <c r="Z103" s="348" t="s">
        <v>3</v>
      </c>
      <c r="AA103" s="108" t="str">
        <f>IF(AB103=0,"",VLOOKUP(AB103,Starter!$A$1:$D$199,2,FALSE))</f>
        <v>Hueber, Claudia</v>
      </c>
      <c r="AB103" s="99">
        <v>25550</v>
      </c>
      <c r="AC103" s="188">
        <v>139</v>
      </c>
      <c r="AD103" s="109">
        <f>IF(SUM(AC103:AC105)+AC117=0,0,IF(SUM(ABS(AC103),ABS(AC104),ABS(AC105))=AC117,0.5,IF(SUM(ABS(AC103),ABS(AC104),ABS(AC105))&gt;AC117,1,0)))</f>
        <v>0</v>
      </c>
      <c r="AE103" s="188">
        <v>163</v>
      </c>
      <c r="AF103" s="109">
        <f>IF(SUM(AE103:AE105)+AE117=0,0,IF(SUM(ABS(AE103),ABS(AE104),ABS(AE105))=AE117,0.5,IF(SUM(ABS(AE103),ABS(AE104),ABS(AE105))&gt;AE117,1,0)))</f>
        <v>1</v>
      </c>
      <c r="AG103" s="188">
        <v>151</v>
      </c>
      <c r="AH103" s="109">
        <f>IF(SUM(AG103:AG105)+AG117=0,0,IF(SUM(ABS(AG103),ABS(AG104),ABS(AG105))=AG117,0.5,IF(SUM(ABS(AG103),ABS(AG104),ABS(AG105))&gt;AG117,1,0)))</f>
        <v>0</v>
      </c>
      <c r="AI103" s="188">
        <v>163</v>
      </c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616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616</v>
      </c>
      <c r="BF103" s="215">
        <f t="shared" si="134"/>
        <v>4</v>
      </c>
      <c r="BG103" s="215">
        <f t="shared" si="135"/>
        <v>4</v>
      </c>
      <c r="BH103" s="215">
        <f t="shared" si="118"/>
        <v>139</v>
      </c>
      <c r="BI103" s="215">
        <f t="shared" si="119"/>
        <v>163</v>
      </c>
      <c r="BJ103" s="215">
        <f t="shared" si="120"/>
        <v>151</v>
      </c>
      <c r="BK103" s="215">
        <f t="shared" si="121"/>
        <v>163</v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163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616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4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6"/>
      <c r="F104" s="78" t="str">
        <f t="shared" si="109"/>
        <v/>
      </c>
      <c r="G104" s="346"/>
      <c r="H104" s="78" t="str">
        <f t="shared" si="110"/>
        <v/>
      </c>
      <c r="I104" s="346"/>
      <c r="J104" s="78" t="str">
        <f t="shared" si="111"/>
        <v/>
      </c>
      <c r="K104" s="346"/>
      <c r="L104" s="78">
        <f t="shared" si="112"/>
        <v>162</v>
      </c>
      <c r="M104" s="346"/>
      <c r="N104" s="78">
        <f t="shared" si="131"/>
        <v>150</v>
      </c>
      <c r="O104" s="346"/>
      <c r="P104" s="78">
        <f t="shared" si="113"/>
        <v>152</v>
      </c>
      <c r="Q104" s="346"/>
      <c r="R104" s="78">
        <f t="shared" si="114"/>
        <v>179</v>
      </c>
      <c r="S104" s="346"/>
      <c r="T104" s="78">
        <f t="shared" si="115"/>
        <v>153</v>
      </c>
      <c r="U104" s="346"/>
      <c r="V104" s="78">
        <f t="shared" si="116"/>
        <v>796</v>
      </c>
      <c r="W104" s="346"/>
      <c r="Z104" s="349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>
        <v>162</v>
      </c>
      <c r="AL104" s="112"/>
      <c r="AM104" s="186">
        <v>150</v>
      </c>
      <c r="AN104" s="112"/>
      <c r="AO104" s="186">
        <v>152</v>
      </c>
      <c r="AP104" s="112"/>
      <c r="AQ104" s="186">
        <v>179</v>
      </c>
      <c r="AR104" s="112"/>
      <c r="AS104" s="186">
        <v>153</v>
      </c>
      <c r="AT104" s="112"/>
      <c r="AU104" s="113">
        <f t="shared" si="117"/>
        <v>796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796</v>
      </c>
      <c r="BF104" s="215">
        <f t="shared" si="134"/>
        <v>5</v>
      </c>
      <c r="BG104" s="215">
        <f t="shared" si="135"/>
        <v>5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>
        <f t="shared" si="122"/>
        <v>162</v>
      </c>
      <c r="BM104" s="215">
        <f t="shared" si="123"/>
        <v>150</v>
      </c>
      <c r="BN104" s="215">
        <f t="shared" si="124"/>
        <v>152</v>
      </c>
      <c r="BO104" s="215">
        <f t="shared" si="125"/>
        <v>179</v>
      </c>
      <c r="BP104" s="215">
        <f t="shared" si="126"/>
        <v>153</v>
      </c>
      <c r="BQ104" s="216"/>
      <c r="BR104" s="214"/>
      <c r="BS104" s="215">
        <f t="shared" si="136"/>
        <v>179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796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5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7"/>
      <c r="F105" s="69" t="str">
        <f t="shared" si="109"/>
        <v/>
      </c>
      <c r="G105" s="347"/>
      <c r="H105" s="69" t="str">
        <f t="shared" si="110"/>
        <v/>
      </c>
      <c r="I105" s="347"/>
      <c r="J105" s="69" t="str">
        <f t="shared" si="111"/>
        <v/>
      </c>
      <c r="K105" s="347"/>
      <c r="L105" s="69" t="str">
        <f t="shared" si="112"/>
        <v/>
      </c>
      <c r="M105" s="347"/>
      <c r="N105" s="69" t="str">
        <f t="shared" si="131"/>
        <v/>
      </c>
      <c r="O105" s="347"/>
      <c r="P105" s="69" t="str">
        <f t="shared" si="113"/>
        <v/>
      </c>
      <c r="Q105" s="347"/>
      <c r="R105" s="69" t="str">
        <f t="shared" si="114"/>
        <v/>
      </c>
      <c r="S105" s="347"/>
      <c r="T105" s="69" t="str">
        <f t="shared" si="115"/>
        <v/>
      </c>
      <c r="U105" s="347"/>
      <c r="V105" s="69" t="str">
        <f t="shared" si="116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3" t="s">
        <v>11</v>
      </c>
      <c r="B106" s="73" t="str">
        <f>IF(AA106=0,"",AA106)</f>
        <v>Schott, Nicole</v>
      </c>
      <c r="C106" s="74">
        <f t="shared" si="129"/>
        <v>16595</v>
      </c>
      <c r="D106" s="75">
        <f t="shared" si="130"/>
        <v>201</v>
      </c>
      <c r="E106" s="345">
        <f>IF(AD106="","",AD106)</f>
        <v>1</v>
      </c>
      <c r="F106" s="75">
        <f t="shared" si="109"/>
        <v>145</v>
      </c>
      <c r="G106" s="345">
        <f>IF(AF106="","",AF106)</f>
        <v>0</v>
      </c>
      <c r="H106" s="75">
        <f t="shared" si="110"/>
        <v>152</v>
      </c>
      <c r="I106" s="345">
        <f>IF(AH106="","",AH106)</f>
        <v>0</v>
      </c>
      <c r="J106" s="75">
        <f t="shared" si="111"/>
        <v>189</v>
      </c>
      <c r="K106" s="345">
        <f>IF(AJ106="","",AJ106)</f>
        <v>0.5</v>
      </c>
      <c r="L106" s="75">
        <f t="shared" si="112"/>
        <v>184</v>
      </c>
      <c r="M106" s="345">
        <f>IF(AL106="","",AL106)</f>
        <v>0</v>
      </c>
      <c r="N106" s="75">
        <f t="shared" si="131"/>
        <v>158</v>
      </c>
      <c r="O106" s="345">
        <f>IF(AN106="","",AN106)</f>
        <v>0</v>
      </c>
      <c r="P106" s="75">
        <f t="shared" si="113"/>
        <v>179</v>
      </c>
      <c r="Q106" s="345">
        <f>IF(AP106="","",AP106)</f>
        <v>1</v>
      </c>
      <c r="R106" s="75">
        <f t="shared" si="114"/>
        <v>152</v>
      </c>
      <c r="S106" s="345">
        <f>IF(AR106="","",AR106)</f>
        <v>0</v>
      </c>
      <c r="T106" s="75" t="str">
        <f t="shared" si="115"/>
        <v/>
      </c>
      <c r="U106" s="345">
        <f>IF(AT106="","",AT106)</f>
        <v>1</v>
      </c>
      <c r="V106" s="75">
        <f t="shared" si="116"/>
        <v>1360</v>
      </c>
      <c r="W106" s="345">
        <f>IF(AV106="","",AV106)</f>
        <v>3.5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>
        <v>201</v>
      </c>
      <c r="AD106" s="109">
        <f>IF(SUM(AC106:AC108)+AC118=0,0,IF(SUM(ABS(AC106),ABS(AC107),ABS(AC108))=AC118,0.5,IF(SUM(ABS(AC106),ABS(AC107),ABS(AC108))&gt;AC118,1,0)))</f>
        <v>1</v>
      </c>
      <c r="AE106" s="188">
        <v>145</v>
      </c>
      <c r="AF106" s="109">
        <f>IF(SUM(AE106:AE108)+AE118=0,0,IF(SUM(ABS(AE106),ABS(AE107),ABS(AE108))=AE118,0.5,IF(SUM(ABS(AE106),ABS(AE107),ABS(AE108))&gt;AE118,1,0)))</f>
        <v>0</v>
      </c>
      <c r="AG106" s="188">
        <v>152</v>
      </c>
      <c r="AH106" s="109">
        <f>IF(SUM(AG106:AG108)+AG118=0,0,IF(SUM(ABS(AG106),ABS(AG107),ABS(AG108))=AG118,0.5,IF(SUM(ABS(AG106),ABS(AG107),ABS(AG108))&gt;AG118,1,0)))</f>
        <v>0</v>
      </c>
      <c r="AI106" s="188">
        <v>189</v>
      </c>
      <c r="AJ106" s="109">
        <f>IF(SUM(AI106:AI108)+AI118=0,0,IF(SUM(ABS(AI106),ABS(AI107),ABS(AI108))=AI118,0.5,IF(SUM(ABS(AI106),ABS(AI107),ABS(AI108))&gt;AI118,1,0)))</f>
        <v>0.5</v>
      </c>
      <c r="AK106" s="188">
        <v>184</v>
      </c>
      <c r="AL106" s="109">
        <f>IF(SUM(AK106:AK108)+AK118=0,0,IF(SUM(ABS(AK106),ABS(AK107),ABS(AK108))=AK118,0.5,IF(SUM(ABS(AK106),ABS(AK107),ABS(AK108))&gt;AK118,1,0)))</f>
        <v>0</v>
      </c>
      <c r="AM106" s="188">
        <v>158</v>
      </c>
      <c r="AN106" s="109">
        <f>IF(SUM(AM106:AM108)+AM118=0,0,IF(SUM(ABS(AM106),ABS(AM107),ABS(AM108))=AM118,0.5,IF(SUM(ABS(AM106),ABS(AM107),ABS(AM108))&gt;AM118,1,0)))</f>
        <v>0</v>
      </c>
      <c r="AO106" s="188">
        <v>179</v>
      </c>
      <c r="AP106" s="109">
        <f>IF(SUM(AO106:AO108)+AO118=0,0,IF(SUM(ABS(AO106),ABS(AO107),ABS(AO108))=AO118,0.5,IF(SUM(ABS(AO106),ABS(AO107),ABS(AO108))&gt;AO118,1,0)))</f>
        <v>1</v>
      </c>
      <c r="AQ106" s="188">
        <v>152</v>
      </c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1360</v>
      </c>
      <c r="AV106" s="111">
        <f>SUM(AD106+AF106+AH106+AJ106+AL106+AN106+AP106+AR106+AT106)</f>
        <v>3.5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1360</v>
      </c>
      <c r="BF106" s="215">
        <f t="shared" si="134"/>
        <v>8</v>
      </c>
      <c r="BG106" s="215">
        <f t="shared" si="135"/>
        <v>8</v>
      </c>
      <c r="BH106" s="215">
        <f t="shared" si="118"/>
        <v>201</v>
      </c>
      <c r="BI106" s="215">
        <f t="shared" si="119"/>
        <v>145</v>
      </c>
      <c r="BJ106" s="215">
        <f t="shared" si="120"/>
        <v>152</v>
      </c>
      <c r="BK106" s="215">
        <f t="shared" si="121"/>
        <v>189</v>
      </c>
      <c r="BL106" s="215">
        <f t="shared" si="122"/>
        <v>184</v>
      </c>
      <c r="BM106" s="215">
        <f t="shared" si="123"/>
        <v>158</v>
      </c>
      <c r="BN106" s="215">
        <f t="shared" si="124"/>
        <v>179</v>
      </c>
      <c r="BO106" s="215">
        <f t="shared" si="125"/>
        <v>152</v>
      </c>
      <c r="BP106" s="215" t="str">
        <f t="shared" si="126"/>
        <v/>
      </c>
      <c r="BQ106" s="216"/>
      <c r="BR106" s="214"/>
      <c r="BS106" s="215">
        <f t="shared" si="136"/>
        <v>201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1360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4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6"/>
      <c r="F107" s="78" t="str">
        <f t="shared" si="109"/>
        <v/>
      </c>
      <c r="G107" s="346"/>
      <c r="H107" s="78" t="str">
        <f t="shared" si="110"/>
        <v/>
      </c>
      <c r="I107" s="346"/>
      <c r="J107" s="78" t="str">
        <f t="shared" si="111"/>
        <v/>
      </c>
      <c r="K107" s="346"/>
      <c r="L107" s="78" t="str">
        <f t="shared" si="112"/>
        <v/>
      </c>
      <c r="M107" s="346"/>
      <c r="N107" s="78" t="str">
        <f t="shared" si="131"/>
        <v/>
      </c>
      <c r="O107" s="346"/>
      <c r="P107" s="78" t="str">
        <f t="shared" si="113"/>
        <v/>
      </c>
      <c r="Q107" s="346"/>
      <c r="R107" s="78" t="str">
        <f t="shared" si="114"/>
        <v/>
      </c>
      <c r="S107" s="346"/>
      <c r="T107" s="78">
        <f t="shared" si="115"/>
        <v>156</v>
      </c>
      <c r="U107" s="346"/>
      <c r="V107" s="78">
        <f t="shared" si="116"/>
        <v>156</v>
      </c>
      <c r="W107" s="346"/>
      <c r="Z107" s="349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>
        <v>156</v>
      </c>
      <c r="AT107" s="112"/>
      <c r="AU107" s="113">
        <f t="shared" si="117"/>
        <v>156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156</v>
      </c>
      <c r="BF107" s="215">
        <f t="shared" si="134"/>
        <v>1</v>
      </c>
      <c r="BG107" s="215">
        <f t="shared" si="135"/>
        <v>1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>
        <f t="shared" si="126"/>
        <v>156</v>
      </c>
      <c r="BQ107" s="216"/>
      <c r="BR107" s="214"/>
      <c r="BS107" s="215">
        <f t="shared" si="136"/>
        <v>156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156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5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7"/>
      <c r="F108" s="69" t="str">
        <f t="shared" si="109"/>
        <v/>
      </c>
      <c r="G108" s="347"/>
      <c r="H108" s="69" t="str">
        <f t="shared" si="110"/>
        <v/>
      </c>
      <c r="I108" s="347"/>
      <c r="J108" s="69" t="str">
        <f t="shared" si="111"/>
        <v/>
      </c>
      <c r="K108" s="347"/>
      <c r="L108" s="69" t="str">
        <f t="shared" si="112"/>
        <v/>
      </c>
      <c r="M108" s="347"/>
      <c r="N108" s="69" t="str">
        <f t="shared" si="131"/>
        <v/>
      </c>
      <c r="O108" s="347"/>
      <c r="P108" s="69" t="str">
        <f t="shared" si="113"/>
        <v/>
      </c>
      <c r="Q108" s="347"/>
      <c r="R108" s="69" t="str">
        <f t="shared" si="114"/>
        <v/>
      </c>
      <c r="S108" s="347"/>
      <c r="T108" s="69" t="str">
        <f t="shared" si="115"/>
        <v/>
      </c>
      <c r="U108" s="347"/>
      <c r="V108" s="69" t="str">
        <f t="shared" si="116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700</v>
      </c>
      <c r="E109" s="84">
        <f>IF(AD109="","",AD109)</f>
        <v>2</v>
      </c>
      <c r="F109" s="83">
        <f t="shared" si="109"/>
        <v>622</v>
      </c>
      <c r="G109" s="84">
        <f>IF(AF109="","",AF109)</f>
        <v>0</v>
      </c>
      <c r="H109" s="83">
        <f t="shared" si="110"/>
        <v>680</v>
      </c>
      <c r="I109" s="84">
        <f>IF(AH109="","",AH109)</f>
        <v>2</v>
      </c>
      <c r="J109" s="83">
        <f t="shared" si="111"/>
        <v>722</v>
      </c>
      <c r="K109" s="84">
        <f>IF(AJ109="","",AJ109)</f>
        <v>2</v>
      </c>
      <c r="L109" s="83">
        <f t="shared" si="112"/>
        <v>746</v>
      </c>
      <c r="M109" s="84">
        <f>IF(AL109="","",AL109)</f>
        <v>0</v>
      </c>
      <c r="N109" s="83">
        <f t="shared" si="131"/>
        <v>595</v>
      </c>
      <c r="O109" s="84">
        <f>IF(AN109="","",AN109)</f>
        <v>0</v>
      </c>
      <c r="P109" s="83">
        <f t="shared" si="113"/>
        <v>702</v>
      </c>
      <c r="Q109" s="84">
        <f>IF(AP109="","",AP109)</f>
        <v>0</v>
      </c>
      <c r="R109" s="83">
        <f t="shared" si="114"/>
        <v>687</v>
      </c>
      <c r="S109" s="84">
        <f>IF(AR109="","",AR109)</f>
        <v>0</v>
      </c>
      <c r="T109" s="83">
        <f t="shared" si="115"/>
        <v>646</v>
      </c>
      <c r="U109" s="84">
        <f>IF(AT109="","",AT109)</f>
        <v>2</v>
      </c>
      <c r="V109" s="83">
        <f t="shared" si="116"/>
        <v>6100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700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622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680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722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746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595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702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687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646</v>
      </c>
      <c r="AT109" s="121">
        <f>IF(AS109+AS119=0,0,IF(AS109=AS119,1,IF(AS109&gt;AS119,2,0)))</f>
        <v>2</v>
      </c>
      <c r="AU109" s="122">
        <f>SUM(AC109+AE109+AG109+AI109+AK109+AM109+AO109+AQ109+AS109)</f>
        <v>6100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4</v>
      </c>
      <c r="F110" s="86" t="str">
        <f t="shared" si="109"/>
        <v/>
      </c>
      <c r="G110" s="87">
        <f>IF(AF110="","",AF110)</f>
        <v>1</v>
      </c>
      <c r="H110" s="86" t="str">
        <f t="shared" si="110"/>
        <v/>
      </c>
      <c r="I110" s="87">
        <f>IF(AH110="","",AH110)</f>
        <v>4</v>
      </c>
      <c r="J110" s="86" t="str">
        <f t="shared" si="111"/>
        <v/>
      </c>
      <c r="K110" s="87">
        <f>IF(AJ110="","",AJ110)</f>
        <v>4.5</v>
      </c>
      <c r="L110" s="86" t="str">
        <f t="shared" si="112"/>
        <v/>
      </c>
      <c r="M110" s="87">
        <f>IF(AL110="","",AL110)</f>
        <v>2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1.5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5</v>
      </c>
      <c r="V110" s="86" t="str">
        <f t="shared" si="116"/>
        <v/>
      </c>
      <c r="W110" s="87">
        <f>IF(AV110="","",AV110)</f>
        <v>24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1</v>
      </c>
      <c r="AG110" s="86"/>
      <c r="AH110" s="124">
        <f>SUM(AH97:AH109)</f>
        <v>4</v>
      </c>
      <c r="AI110" s="86"/>
      <c r="AJ110" s="124">
        <f>SUM(AJ97:AJ109)</f>
        <v>4.5</v>
      </c>
      <c r="AK110" s="86"/>
      <c r="AL110" s="124">
        <f>SUM(AL97:AL109)</f>
        <v>2</v>
      </c>
      <c r="AM110" s="86"/>
      <c r="AN110" s="124">
        <f>SUM(AN97:AN109)</f>
        <v>0</v>
      </c>
      <c r="AO110" s="86"/>
      <c r="AP110" s="124">
        <f>SUM(AP97:AP109)</f>
        <v>1.5</v>
      </c>
      <c r="AQ110" s="86"/>
      <c r="AR110" s="124">
        <f>SUM(AR97:AR109)</f>
        <v>2</v>
      </c>
      <c r="AS110" s="86"/>
      <c r="AT110" s="124">
        <f>SUM(AT97:AT109)</f>
        <v>5</v>
      </c>
      <c r="AU110" s="86"/>
      <c r="AV110" s="125">
        <f>SUM(AV97:AV109)</f>
        <v>24</v>
      </c>
      <c r="AW110" s="101"/>
      <c r="AX110" s="102"/>
      <c r="BA110" s="212">
        <f>+AV110</f>
        <v>24</v>
      </c>
      <c r="BB110" s="213">
        <f>+AU109</f>
        <v>6100</v>
      </c>
      <c r="BC110" s="214">
        <f>+AA92</f>
        <v>4</v>
      </c>
      <c r="BF110" s="215">
        <f>SUM(BF91:BF109)</f>
        <v>36</v>
      </c>
      <c r="BQ110" s="212">
        <f>+BB110/1000000+BA110</f>
        <v>24.0061</v>
      </c>
      <c r="BR110" s="214">
        <f>RANK(BQ110,BQ:BQ)</f>
        <v>7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3">
        <f t="shared" ref="D112:M114" si="144">IF(AC112=0,"",AC112)</f>
        <v>7</v>
      </c>
      <c r="E112" s="353" t="str">
        <f t="shared" si="144"/>
        <v/>
      </c>
      <c r="F112" s="353">
        <f t="shared" si="144"/>
        <v>2</v>
      </c>
      <c r="G112" s="353" t="str">
        <f t="shared" si="144"/>
        <v/>
      </c>
      <c r="H112" s="353">
        <f t="shared" si="144"/>
        <v>9</v>
      </c>
      <c r="I112" s="353" t="str">
        <f t="shared" si="144"/>
        <v/>
      </c>
      <c r="J112" s="353">
        <f t="shared" si="144"/>
        <v>10</v>
      </c>
      <c r="K112" s="353" t="str">
        <f t="shared" si="144"/>
        <v/>
      </c>
      <c r="L112" s="353">
        <f t="shared" si="144"/>
        <v>6</v>
      </c>
      <c r="M112" s="353" t="str">
        <f t="shared" si="144"/>
        <v/>
      </c>
      <c r="N112" s="353">
        <f t="shared" ref="N112:U114" si="145">IF(AM112=0,"",AM112)</f>
        <v>8</v>
      </c>
      <c r="O112" s="353" t="str">
        <f t="shared" si="145"/>
        <v/>
      </c>
      <c r="P112" s="353">
        <f t="shared" si="145"/>
        <v>1</v>
      </c>
      <c r="Q112" s="353" t="str">
        <f t="shared" si="145"/>
        <v/>
      </c>
      <c r="R112" s="353">
        <f t="shared" si="145"/>
        <v>3</v>
      </c>
      <c r="S112" s="353" t="str">
        <f t="shared" si="145"/>
        <v/>
      </c>
      <c r="T112" s="353">
        <f t="shared" si="145"/>
        <v>5</v>
      </c>
      <c r="U112" s="353" t="str">
        <f t="shared" si="14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VLOOKUP($AA92,Schlüssel!$A$5:$K$14,3)</f>
        <v>7</v>
      </c>
      <c r="AD112" s="368"/>
      <c r="AE112" s="367">
        <f>VLOOKUP($AA92,Schlüssel!$A$5:$K$14,4)</f>
        <v>2</v>
      </c>
      <c r="AF112" s="368"/>
      <c r="AG112" s="367">
        <f>VLOOKUP($AA92,Schlüssel!$A$5:$K$14,5)</f>
        <v>9</v>
      </c>
      <c r="AH112" s="368"/>
      <c r="AI112" s="367">
        <f>VLOOKUP($AA92,Schlüssel!$A$5:$K$14,6)</f>
        <v>10</v>
      </c>
      <c r="AJ112" s="368"/>
      <c r="AK112" s="367">
        <f>VLOOKUP($AA92,Schlüssel!$A$5:$K$14,7)</f>
        <v>6</v>
      </c>
      <c r="AL112" s="368"/>
      <c r="AM112" s="367">
        <f>VLOOKUP($AA92,Schlüssel!$A$5:$K$14,8)</f>
        <v>8</v>
      </c>
      <c r="AN112" s="368"/>
      <c r="AO112" s="367">
        <f>VLOOKUP($AA92,Schlüssel!$A$5:$K$14,9)</f>
        <v>1</v>
      </c>
      <c r="AP112" s="368"/>
      <c r="AQ112" s="367">
        <f>VLOOKUP($AA92,Schlüssel!$A$5:$K$14,10)</f>
        <v>3</v>
      </c>
      <c r="AR112" s="368"/>
      <c r="AS112" s="367">
        <f>VLOOKUP($AA92,Schlüssel!$A$5:$K$14,11)</f>
        <v>5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5" t="str">
        <f t="shared" si="144"/>
        <v>Frankenpower Nürnberg</v>
      </c>
      <c r="E113" s="356" t="str">
        <f t="shared" si="144"/>
        <v/>
      </c>
      <c r="F113" s="355" t="str">
        <f t="shared" si="144"/>
        <v>BK München 2</v>
      </c>
      <c r="G113" s="356" t="str">
        <f t="shared" si="144"/>
        <v/>
      </c>
      <c r="H113" s="355" t="str">
        <f t="shared" si="144"/>
        <v>RW Lichtenhof 69 Stein 2</v>
      </c>
      <c r="I113" s="356" t="str">
        <f t="shared" si="144"/>
        <v/>
      </c>
      <c r="J113" s="355" t="str">
        <f t="shared" si="144"/>
        <v>BK München 4</v>
      </c>
      <c r="K113" s="356" t="str">
        <f t="shared" si="144"/>
        <v/>
      </c>
      <c r="L113" s="355" t="str">
        <f t="shared" si="144"/>
        <v>Phönix 03 Lauf</v>
      </c>
      <c r="M113" s="356" t="str">
        <f t="shared" si="144"/>
        <v/>
      </c>
      <c r="N113" s="355" t="str">
        <f t="shared" si="145"/>
        <v>EPA München 1</v>
      </c>
      <c r="O113" s="356" t="str">
        <f t="shared" si="145"/>
        <v/>
      </c>
      <c r="P113" s="355" t="str">
        <f t="shared" si="145"/>
        <v>Praetoria Regensburg</v>
      </c>
      <c r="Q113" s="356" t="str">
        <f t="shared" si="145"/>
        <v/>
      </c>
      <c r="R113" s="355" t="str">
        <f t="shared" si="145"/>
        <v>Highroller Rosenheim</v>
      </c>
      <c r="S113" s="356" t="str">
        <f t="shared" si="145"/>
        <v/>
      </c>
      <c r="T113" s="355" t="str">
        <f t="shared" si="145"/>
        <v xml:space="preserve">Weiß Blau Unterföhring </v>
      </c>
      <c r="U113" s="356" t="str">
        <f t="shared" si="145"/>
        <v/>
      </c>
      <c r="V113" s="360"/>
      <c r="W113" s="360"/>
      <c r="AA113" s="90"/>
      <c r="AB113" s="86"/>
      <c r="AC113" s="355" t="str">
        <f>VLOOKUP(AC112,Schlüssel!$A$5:$K$14,2)</f>
        <v>Frankenpower Nürnberg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EPA München 1</v>
      </c>
      <c r="AN113" s="356"/>
      <c r="AO113" s="355" t="str">
        <f>VLOOKUP(AO112,Schlüssel!$A$5:$K$14,2)</f>
        <v>Praetoria Regensburg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VLOOKUP(AS112,Schlüssel!$A$5:$EK$14,2)</f>
        <v xml:space="preserve">Weiß Blau Unterföhring 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7" t="str">
        <f t="shared" si="144"/>
        <v/>
      </c>
      <c r="E114" s="357" t="str">
        <f t="shared" si="144"/>
        <v/>
      </c>
      <c r="F114" s="357" t="str">
        <f t="shared" si="144"/>
        <v/>
      </c>
      <c r="G114" s="357" t="str">
        <f t="shared" si="144"/>
        <v/>
      </c>
      <c r="H114" s="357" t="str">
        <f t="shared" si="144"/>
        <v/>
      </c>
      <c r="I114" s="357" t="str">
        <f t="shared" si="144"/>
        <v/>
      </c>
      <c r="J114" s="357" t="str">
        <f t="shared" si="144"/>
        <v/>
      </c>
      <c r="K114" s="357" t="str">
        <f t="shared" si="144"/>
        <v/>
      </c>
      <c r="L114" s="357" t="str">
        <f t="shared" si="144"/>
        <v/>
      </c>
      <c r="M114" s="357" t="str">
        <f t="shared" si="144"/>
        <v/>
      </c>
      <c r="N114" s="357" t="str">
        <f t="shared" si="145"/>
        <v/>
      </c>
      <c r="O114" s="357" t="str">
        <f t="shared" si="145"/>
        <v/>
      </c>
      <c r="P114" s="357" t="str">
        <f t="shared" si="145"/>
        <v/>
      </c>
      <c r="Q114" s="357" t="str">
        <f t="shared" si="145"/>
        <v/>
      </c>
      <c r="R114" s="357" t="str">
        <f t="shared" si="145"/>
        <v/>
      </c>
      <c r="S114" s="357" t="str">
        <f t="shared" si="145"/>
        <v/>
      </c>
      <c r="T114" s="357" t="str">
        <f t="shared" si="145"/>
        <v/>
      </c>
      <c r="U114" s="358" t="str">
        <f t="shared" si="14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si="142"/>
        <v>Spieler 1</v>
      </c>
      <c r="C115" s="372" t="str">
        <f t="shared" si="143"/>
        <v/>
      </c>
      <c r="D115" s="359">
        <f>IF(AC115=301,"",AC115)</f>
        <v>188</v>
      </c>
      <c r="E115" s="359" t="str">
        <f>IF(AD115=0,"",AD115)</f>
        <v/>
      </c>
      <c r="F115" s="359">
        <f>IF(AE115=301,"",AE115)</f>
        <v>167</v>
      </c>
      <c r="G115" s="359" t="str">
        <f>IF(AF115=0,"",AF115)</f>
        <v/>
      </c>
      <c r="H115" s="359">
        <f>IF(AG115=301,"",AG115)</f>
        <v>180</v>
      </c>
      <c r="I115" s="359" t="str">
        <f>IF(AH115=0,"",AH115)</f>
        <v/>
      </c>
      <c r="J115" s="359">
        <f>IF(AI115=301,"",AI115)</f>
        <v>168</v>
      </c>
      <c r="K115" s="359" t="str">
        <f>IF(AJ115=0,"",AJ115)</f>
        <v/>
      </c>
      <c r="L115" s="359">
        <f>IF(AK115=301,"",AK115)</f>
        <v>135</v>
      </c>
      <c r="M115" s="359" t="str">
        <f>IF(AL115=0,"",AL115)</f>
        <v/>
      </c>
      <c r="N115" s="359">
        <f>IF(AM115=301,"",AM115)</f>
        <v>203</v>
      </c>
      <c r="O115" s="359" t="str">
        <f>IF(AN115=0,"",AN115)</f>
        <v/>
      </c>
      <c r="P115" s="359">
        <f>IF(AO115=301,"",AO115)</f>
        <v>194</v>
      </c>
      <c r="Q115" s="359" t="str">
        <f>IF(AP115=0,"",AP115)</f>
        <v/>
      </c>
      <c r="R115" s="359">
        <f>IF(AQ115=301,"",AQ115)</f>
        <v>153</v>
      </c>
      <c r="S115" s="359" t="str">
        <f>IF(AR115=0,"",AR115)</f>
        <v/>
      </c>
      <c r="T115" s="359">
        <f>IF(AS115=301,"",AS115)</f>
        <v>178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188</v>
      </c>
      <c r="AD115" s="366"/>
      <c r="AE115" s="365">
        <f>ABS(INDEX(AE:AE,MATCH(AE112,$AA:$AA,0)+5)+INDEX(AE:AE,MATCH(AE112,$AA:$AA,0)+6)+INDEX(AE:AE,MATCH(AE112,$AA:$AA,0)+7))</f>
        <v>167</v>
      </c>
      <c r="AF115" s="366"/>
      <c r="AG115" s="365">
        <f>ABS(INDEX(AG:AG,MATCH(AG112,$AA:$AA,0)+5)+INDEX(AG:AG,MATCH(AG112,$AA:$AA,0)+6)+INDEX(AG:AG,MATCH(AG112,$AA:$AA,0)+7))</f>
        <v>180</v>
      </c>
      <c r="AH115" s="366"/>
      <c r="AI115" s="365">
        <f>ABS(INDEX(AI:AI,MATCH(AI112,$AA:$AA,0)+5)+INDEX(AI:AI,MATCH(AI112,$AA:$AA,0)+6)+INDEX(AI:AI,MATCH(AI112,$AA:$AA,0)+7))</f>
        <v>168</v>
      </c>
      <c r="AJ115" s="366"/>
      <c r="AK115" s="365">
        <f>ABS(INDEX(AK:AK,MATCH(AK112,$AA:$AA,0)+5)+INDEX(AK:AK,MATCH(AK112,$AA:$AA,0)+6)+INDEX(AK:AK,MATCH(AK112,$AA:$AA,0)+7))</f>
        <v>135</v>
      </c>
      <c r="AL115" s="366"/>
      <c r="AM115" s="365">
        <f>ABS(INDEX(AM:AM,MATCH(AM112,$AA:$AA,0)+5)+INDEX(AM:AM,MATCH(AM112,$AA:$AA,0)+6)+INDEX(AM:AM,MATCH(AM112,$AA:$AA,0)+7))</f>
        <v>203</v>
      </c>
      <c r="AN115" s="366"/>
      <c r="AO115" s="365">
        <f>ABS(INDEX(AO:AO,MATCH(AO112,$AA:$AA,0)+5)+INDEX(AO:AO,MATCH(AO112,$AA:$AA,0)+6)+INDEX(AO:AO,MATCH(AO112,$AA:$AA,0)+7))</f>
        <v>194</v>
      </c>
      <c r="AP115" s="366"/>
      <c r="AQ115" s="365">
        <f>ABS(INDEX(AQ:AQ,MATCH(AQ112,$AA:$AA,0)+5)+INDEX(AQ:AQ,MATCH(AQ112,$AA:$AA,0)+6)+INDEX(AQ:AQ,MATCH(AQ112,$AA:$AA,0)+7))</f>
        <v>153</v>
      </c>
      <c r="AR115" s="366"/>
      <c r="AS115" s="365">
        <f>ABS(INDEX(AS:AS,MATCH(AS112,$AA:$AA,0)+5)+INDEX(AS:AS,MATCH(AS112,$AA:$AA,0)+6)+INDEX(AS:AS,MATCH(AS112,$AA:$AA,0)+7))</f>
        <v>178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42"/>
        <v>Spieler 2</v>
      </c>
      <c r="C116" s="372" t="str">
        <f t="shared" si="143"/>
        <v/>
      </c>
      <c r="D116" s="359">
        <f>IF(AC116=301,"",AC116)</f>
        <v>119</v>
      </c>
      <c r="E116" s="359" t="str">
        <f>IF(AD116=0,"",AD116)</f>
        <v/>
      </c>
      <c r="F116" s="359">
        <f>IF(AE116=301,"",AE116)</f>
        <v>166</v>
      </c>
      <c r="G116" s="359" t="str">
        <f>IF(AF116=0,"",AF116)</f>
        <v/>
      </c>
      <c r="H116" s="359">
        <f>IF(AG116=301,"",AG116)</f>
        <v>119</v>
      </c>
      <c r="I116" s="359" t="str">
        <f>IF(AH116=0,"",AH116)</f>
        <v/>
      </c>
      <c r="J116" s="359">
        <f>IF(AI116=301,"",AI116)</f>
        <v>151</v>
      </c>
      <c r="K116" s="359" t="str">
        <f>IF(AJ116=0,"",AJ116)</f>
        <v/>
      </c>
      <c r="L116" s="359">
        <f>IF(AK116=301,"",AK116)</f>
        <v>186</v>
      </c>
      <c r="M116" s="359" t="str">
        <f>IF(AL116=0,"",AL116)</f>
        <v/>
      </c>
      <c r="N116" s="359">
        <f>IF(AM116=301,"",AM116)</f>
        <v>205</v>
      </c>
      <c r="O116" s="359" t="str">
        <f>IF(AN116=0,"",AN116)</f>
        <v/>
      </c>
      <c r="P116" s="359">
        <f>IF(AO116=301,"",AO116)</f>
        <v>216</v>
      </c>
      <c r="Q116" s="359" t="str">
        <f>IF(AP116=0,"",AP116)</f>
        <v/>
      </c>
      <c r="R116" s="359">
        <f>IF(AQ116=301,"",AQ116)</f>
        <v>155</v>
      </c>
      <c r="S116" s="359" t="str">
        <f>IF(AR116=0,"",AR116)</f>
        <v/>
      </c>
      <c r="T116" s="359">
        <f>IF(AS116=301,"",AS116)</f>
        <v>162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119</v>
      </c>
      <c r="AD116" s="364"/>
      <c r="AE116" s="363">
        <f>ABS(INDEX(AE:AE,MATCH(AE112,$AA:$AA,0)+8)+INDEX(AE:AE,MATCH(AE112,$AA:$AA,0)+9)+INDEX(AE:AE,MATCH(AE112,$AA:$AA,0)+10))</f>
        <v>166</v>
      </c>
      <c r="AF116" s="364"/>
      <c r="AG116" s="363">
        <f>ABS(INDEX(AG:AG,MATCH(AG112,$AA:$AA,0)+8)+INDEX(AG:AG,MATCH(AG112,$AA:$AA,0)+9)+INDEX(AG:AG,MATCH(AG112,$AA:$AA,0)+10))</f>
        <v>119</v>
      </c>
      <c r="AH116" s="364"/>
      <c r="AI116" s="363">
        <f>ABS(INDEX(AI:AI,MATCH(AI112,$AA:$AA,0)+8)+INDEX(AI:AI,MATCH(AI112,$AA:$AA,0)+9)+INDEX(AI:AI,MATCH(AI112,$AA:$AA,0)+10))</f>
        <v>151</v>
      </c>
      <c r="AJ116" s="364"/>
      <c r="AK116" s="363">
        <f>ABS(INDEX(AK:AK,MATCH(AK112,$AA:$AA,0)+8)+INDEX(AK:AK,MATCH(AK112,$AA:$AA,0)+9)+INDEX(AK:AK,MATCH(AK112,$AA:$AA,0)+10))</f>
        <v>186</v>
      </c>
      <c r="AL116" s="364"/>
      <c r="AM116" s="363">
        <f>ABS(INDEX(AM:AM,MATCH(AM112,$AA:$AA,0)+8)+INDEX(AM:AM,MATCH(AM112,$AA:$AA,0)+9)+INDEX(AM:AM,MATCH(AM112,$AA:$AA,0)+10))</f>
        <v>205</v>
      </c>
      <c r="AN116" s="364"/>
      <c r="AO116" s="363">
        <f>ABS(INDEX(AO:AO,MATCH(AO112,$AA:$AA,0)+8)+INDEX(AO:AO,MATCH(AO112,$AA:$AA,0)+9)+INDEX(AO:AO,MATCH(AO112,$AA:$AA,0)+10))</f>
        <v>216</v>
      </c>
      <c r="AP116" s="364"/>
      <c r="AQ116" s="363">
        <f>ABS(INDEX(AQ:AQ,MATCH(AQ112,$AA:$AA,0)+8)+INDEX(AQ:AQ,MATCH(AQ112,$AA:$AA,0)+9)+INDEX(AQ:AQ,MATCH(AQ112,$AA:$AA,0)+10))</f>
        <v>155</v>
      </c>
      <c r="AR116" s="364"/>
      <c r="AS116" s="363">
        <f>ABS(INDEX(AS:AS,MATCH(AS112,$AA:$AA,0)+8)+INDEX(AS:AS,MATCH(AS112,$AA:$AA,0)+9)+INDEX(AS:AS,MATCH(AS112,$AA:$AA,0)+10))</f>
        <v>162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42"/>
        <v>Spieler 3</v>
      </c>
      <c r="C117" s="372" t="str">
        <f t="shared" si="143"/>
        <v/>
      </c>
      <c r="D117" s="359">
        <f>IF(AC117=301,"",AC117)</f>
        <v>207</v>
      </c>
      <c r="E117" s="359" t="str">
        <f>IF(AD117=0,"",AD117)</f>
        <v/>
      </c>
      <c r="F117" s="359">
        <f>IF(AE117=301,"",AE117)</f>
        <v>157</v>
      </c>
      <c r="G117" s="359" t="str">
        <f>IF(AF117=0,"",AF117)</f>
        <v/>
      </c>
      <c r="H117" s="359">
        <f>IF(AG117=301,"",AG117)</f>
        <v>156</v>
      </c>
      <c r="I117" s="359" t="str">
        <f>IF(AH117=0,"",AH117)</f>
        <v/>
      </c>
      <c r="J117" s="359">
        <f>IF(AI117=301,"",AI117)</f>
        <v>157</v>
      </c>
      <c r="K117" s="359" t="str">
        <f>IF(AJ117=0,"",AJ117)</f>
        <v/>
      </c>
      <c r="L117" s="359">
        <f>IF(AK117=301,"",AK117)</f>
        <v>201</v>
      </c>
      <c r="M117" s="359" t="str">
        <f>IF(AL117=0,"",AL117)</f>
        <v/>
      </c>
      <c r="N117" s="359">
        <f>IF(AM117=301,"",AM117)</f>
        <v>193</v>
      </c>
      <c r="O117" s="359" t="str">
        <f>IF(AN117=0,"",AN117)</f>
        <v/>
      </c>
      <c r="P117" s="359">
        <f>IF(AO117=301,"",AO117)</f>
        <v>182</v>
      </c>
      <c r="Q117" s="359" t="str">
        <f>IF(AP117=0,"",AP117)</f>
        <v/>
      </c>
      <c r="R117" s="359">
        <f>IF(AQ117=301,"",AQ117)</f>
        <v>221</v>
      </c>
      <c r="S117" s="359" t="str">
        <f>IF(AR117=0,"",AR117)</f>
        <v/>
      </c>
      <c r="T117" s="359">
        <f>IF(AS117=301,"",AS117)</f>
        <v>128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207</v>
      </c>
      <c r="AD117" s="364"/>
      <c r="AE117" s="363">
        <f>ABS(INDEX(AE:AE,MATCH(AE112,$AA:$AA,0)+11)+INDEX(AE:AE,MATCH(AE112,$AA:$AA,0)+12)+INDEX(AE:AE,MATCH(AE112,$AA:$AA,0)+13))</f>
        <v>157</v>
      </c>
      <c r="AF117" s="364"/>
      <c r="AG117" s="363">
        <f>ABS(INDEX(AG:AG,MATCH(AG112,$AA:$AA,0)+11)+INDEX(AG:AG,MATCH(AG112,$AA:$AA,0)+12)+INDEX(AG:AG,MATCH(AG112,$AA:$AA,0)+13))</f>
        <v>156</v>
      </c>
      <c r="AH117" s="364"/>
      <c r="AI117" s="363">
        <f>ABS(INDEX(AI:AI,MATCH(AI112,$AA:$AA,0)+11)+INDEX(AI:AI,MATCH(AI112,$AA:$AA,0)+12)+INDEX(AI:AI,MATCH(AI112,$AA:$AA,0)+13))</f>
        <v>157</v>
      </c>
      <c r="AJ117" s="364"/>
      <c r="AK117" s="363">
        <f>ABS(INDEX(AK:AK,MATCH(AK112,$AA:$AA,0)+11)+INDEX(AK:AK,MATCH(AK112,$AA:$AA,0)+12)+INDEX(AK:AK,MATCH(AK112,$AA:$AA,0)+13))</f>
        <v>201</v>
      </c>
      <c r="AL117" s="364"/>
      <c r="AM117" s="363">
        <f>ABS(INDEX(AM:AM,MATCH(AM112,$AA:$AA,0)+11)+INDEX(AM:AM,MATCH(AM112,$AA:$AA,0)+12)+INDEX(AM:AM,MATCH(AM112,$AA:$AA,0)+13))</f>
        <v>193</v>
      </c>
      <c r="AN117" s="364"/>
      <c r="AO117" s="363">
        <f>ABS(INDEX(AO:AO,MATCH(AO112,$AA:$AA,0)+11)+INDEX(AO:AO,MATCH(AO112,$AA:$AA,0)+12)+INDEX(AO:AO,MATCH(AO112,$AA:$AA,0)+13))</f>
        <v>182</v>
      </c>
      <c r="AP117" s="364"/>
      <c r="AQ117" s="363">
        <f>ABS(INDEX(AQ:AQ,MATCH(AQ112,$AA:$AA,0)+11)+INDEX(AQ:AQ,MATCH(AQ112,$AA:$AA,0)+12)+INDEX(AQ:AQ,MATCH(AQ112,$AA:$AA,0)+13))</f>
        <v>221</v>
      </c>
      <c r="AR117" s="364"/>
      <c r="AS117" s="363">
        <f>ABS(INDEX(AS:AS,MATCH(AS112,$AA:$AA,0)+11)+INDEX(AS:AS,MATCH(AS112,$AA:$AA,0)+12)+INDEX(AS:AS,MATCH(AS112,$AA:$AA,0)+13))</f>
        <v>128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42"/>
        <v>Spieler 4</v>
      </c>
      <c r="C118" s="372" t="str">
        <f t="shared" si="143"/>
        <v/>
      </c>
      <c r="D118" s="359">
        <f>IF(AC118=301,"",AC118)</f>
        <v>171</v>
      </c>
      <c r="E118" s="359" t="str">
        <f>IF(AD118=0,"",AD118)</f>
        <v/>
      </c>
      <c r="F118" s="359">
        <f>IF(AE118=301,"",AE118)</f>
        <v>159</v>
      </c>
      <c r="G118" s="359" t="str">
        <f>IF(AF118=0,"",AF118)</f>
        <v/>
      </c>
      <c r="H118" s="359">
        <f>IF(AG118=301,"",AG118)</f>
        <v>165</v>
      </c>
      <c r="I118" s="359" t="str">
        <f>IF(AH118=0,"",AH118)</f>
        <v/>
      </c>
      <c r="J118" s="359">
        <f>IF(AI118=301,"",AI118)</f>
        <v>189</v>
      </c>
      <c r="K118" s="359" t="str">
        <f>IF(AJ118=0,"",AJ118)</f>
        <v/>
      </c>
      <c r="L118" s="359">
        <f>IF(AK118=301,"",AK118)</f>
        <v>260</v>
      </c>
      <c r="M118" s="359" t="str">
        <f>IF(AL118=0,"",AL118)</f>
        <v/>
      </c>
      <c r="N118" s="359">
        <f>IF(AM118=301,"",AM118)</f>
        <v>209</v>
      </c>
      <c r="O118" s="359" t="str">
        <f>IF(AN118=0,"",AN118)</f>
        <v/>
      </c>
      <c r="P118" s="359">
        <f>IF(AO118=301,"",AO118)</f>
        <v>136</v>
      </c>
      <c r="Q118" s="359" t="str">
        <f>IF(AP118=0,"",AP118)</f>
        <v/>
      </c>
      <c r="R118" s="359">
        <f>IF(AQ118=301,"",AQ118)</f>
        <v>190</v>
      </c>
      <c r="S118" s="359" t="str">
        <f>IF(AR118=0,"",AR118)</f>
        <v/>
      </c>
      <c r="T118" s="359">
        <f>IF(AS118=301,"",AS118)</f>
        <v>117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171</v>
      </c>
      <c r="AD118" s="364"/>
      <c r="AE118" s="363">
        <f>ABS(INDEX(AE:AE,MATCH(AE112,$AA:$AA,0)+14)+INDEX(AE:AE,MATCH(AE112,$AA:$AA,0)+15)+INDEX(AE:AE,MATCH(AE112,$AA:$AA,0)+16))</f>
        <v>159</v>
      </c>
      <c r="AF118" s="364"/>
      <c r="AG118" s="363">
        <f>ABS(INDEX(AG:AG,MATCH(AG112,$AA:$AA,0)+14)+INDEX(AG:AG,MATCH(AG112,$AA:$AA,0)+15)+INDEX(AG:AG,MATCH(AG112,$AA:$AA,0)+16))</f>
        <v>165</v>
      </c>
      <c r="AH118" s="364"/>
      <c r="AI118" s="363">
        <f>ABS(INDEX(AI:AI,MATCH(AI112,$AA:$AA,0)+14)+INDEX(AI:AI,MATCH(AI112,$AA:$AA,0)+15)+INDEX(AI:AI,MATCH(AI112,$AA:$AA,0)+16))</f>
        <v>189</v>
      </c>
      <c r="AJ118" s="364"/>
      <c r="AK118" s="363">
        <f>ABS(INDEX(AK:AK,MATCH(AK112,$AA:$AA,0)+14)+INDEX(AK:AK,MATCH(AK112,$AA:$AA,0)+15)+INDEX(AK:AK,MATCH(AK112,$AA:$AA,0)+16))</f>
        <v>260</v>
      </c>
      <c r="AL118" s="364"/>
      <c r="AM118" s="363">
        <f>ABS(INDEX(AM:AM,MATCH(AM112,$AA:$AA,0)+14)+INDEX(AM:AM,MATCH(AM112,$AA:$AA,0)+15)+INDEX(AM:AM,MATCH(AM112,$AA:$AA,0)+16))</f>
        <v>209</v>
      </c>
      <c r="AN118" s="364"/>
      <c r="AO118" s="363">
        <f>ABS(INDEX(AO:AO,MATCH(AO112,$AA:$AA,0)+14)+INDEX(AO:AO,MATCH(AO112,$AA:$AA,0)+15)+INDEX(AO:AO,MATCH(AO112,$AA:$AA,0)+16))</f>
        <v>136</v>
      </c>
      <c r="AP118" s="364"/>
      <c r="AQ118" s="363">
        <f>ABS(INDEX(AQ:AQ,MATCH(AQ112,$AA:$AA,0)+14)+INDEX(AQ:AQ,MATCH(AQ112,$AA:$AA,0)+15)+INDEX(AQ:AQ,MATCH(AQ112,$AA:$AA,0)+16))</f>
        <v>190</v>
      </c>
      <c r="AR118" s="364"/>
      <c r="AS118" s="363">
        <f>ABS(INDEX(AS:AS,MATCH(AS112,$AA:$AA,0)+14)+INDEX(AS:AS,MATCH(AS112,$AA:$AA,0)+15)+INDEX(AS:AS,MATCH(AS112,$AA:$AA,0)+16))</f>
        <v>117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42"/>
        <v>Gesamt</v>
      </c>
      <c r="C119" s="344" t="str">
        <f t="shared" si="143"/>
        <v/>
      </c>
      <c r="D119" s="362">
        <f>IF(AC119=1505,"",AC119)</f>
        <v>685</v>
      </c>
      <c r="E119" s="362" t="str">
        <f>IF(AD119=0,"",AD119)</f>
        <v/>
      </c>
      <c r="F119" s="362">
        <f>IF(AE119=1505,"",AE119)</f>
        <v>649</v>
      </c>
      <c r="G119" s="362" t="str">
        <f>IF(AF119=0,"",AF119)</f>
        <v/>
      </c>
      <c r="H119" s="362">
        <f>IF(AG119=1505,"",AG119)</f>
        <v>620</v>
      </c>
      <c r="I119" s="362" t="str">
        <f>IF(AH119=0,"",AH119)</f>
        <v/>
      </c>
      <c r="J119" s="362">
        <f>IF(AI119=1505,"",AI119)</f>
        <v>665</v>
      </c>
      <c r="K119" s="362" t="str">
        <f>IF(AJ119=0,"",AJ119)</f>
        <v/>
      </c>
      <c r="L119" s="362">
        <f>IF(AK119=1505,"",AK119)</f>
        <v>782</v>
      </c>
      <c r="M119" s="362" t="str">
        <f>IF(AL119=0,"",AL119)</f>
        <v/>
      </c>
      <c r="N119" s="362">
        <f>IF(AM119=1505,"",AM119)</f>
        <v>810</v>
      </c>
      <c r="O119" s="362" t="str">
        <f>IF(AN119=0,"",AN119)</f>
        <v/>
      </c>
      <c r="P119" s="362">
        <f>IF(AO119=1505,"",AO119)</f>
        <v>728</v>
      </c>
      <c r="Q119" s="362" t="str">
        <f>IF(AP119=0,"",AP119)</f>
        <v/>
      </c>
      <c r="R119" s="362">
        <f>IF(AQ119=1505,"",AQ119)</f>
        <v>719</v>
      </c>
      <c r="S119" s="362" t="str">
        <f>IF(AR119=0,"",AR119)</f>
        <v/>
      </c>
      <c r="T119" s="362">
        <f>IF(AS119=1505,"",AS119)</f>
        <v>585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685</v>
      </c>
      <c r="AD119" s="344"/>
      <c r="AE119" s="343">
        <f>SUM(AE115:AE118)</f>
        <v>649</v>
      </c>
      <c r="AF119" s="344"/>
      <c r="AG119" s="343">
        <f>SUM(AG115:AG118)</f>
        <v>620</v>
      </c>
      <c r="AH119" s="344"/>
      <c r="AI119" s="343">
        <f>SUM(AI115:AI118)</f>
        <v>665</v>
      </c>
      <c r="AJ119" s="344"/>
      <c r="AK119" s="343">
        <f>SUM(AK115:AK118)</f>
        <v>782</v>
      </c>
      <c r="AL119" s="344"/>
      <c r="AM119" s="343">
        <f>SUM(AM115:AM118)</f>
        <v>810</v>
      </c>
      <c r="AN119" s="344"/>
      <c r="AO119" s="343">
        <f>SUM(AO115:AO118)</f>
        <v>728</v>
      </c>
      <c r="AP119" s="344"/>
      <c r="AQ119" s="343">
        <f>SUM(AQ115:AQ118)</f>
        <v>719</v>
      </c>
      <c r="AR119" s="344"/>
      <c r="AS119" s="343">
        <f>SUM(AS115:AS118)</f>
        <v>585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12.10./13.10.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12.10./13.10.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3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5">
        <f>IF(AD127="","",AD127)</f>
        <v>0</v>
      </c>
      <c r="F127" s="75">
        <f t="shared" ref="F127:F140" si="146">IF(AE127=0,"",AE127)</f>
        <v>192</v>
      </c>
      <c r="G127" s="345">
        <f>IF(AF127="","",AF127)</f>
        <v>0</v>
      </c>
      <c r="H127" s="75">
        <f t="shared" ref="H127:H140" si="147">IF(AG127=0,"",AG127)</f>
        <v>171</v>
      </c>
      <c r="I127" s="345">
        <f>IF(AH127="","",AH127)</f>
        <v>0</v>
      </c>
      <c r="J127" s="75">
        <f t="shared" ref="J127:J140" si="148">IF(AI127=0,"",AI127)</f>
        <v>157</v>
      </c>
      <c r="K127" s="345">
        <f>IF(AJ127="","",AJ127)</f>
        <v>0</v>
      </c>
      <c r="L127" s="75">
        <f t="shared" ref="L127:L140" si="149">IF(AK127=0,"",AK127)</f>
        <v>194</v>
      </c>
      <c r="M127" s="345">
        <f>IF(AL127="","",AL127)</f>
        <v>1</v>
      </c>
      <c r="N127" s="75">
        <f>IF(AM127=0,"",AM127)</f>
        <v>204</v>
      </c>
      <c r="O127" s="345">
        <f>IF(AN127="","",AN127)</f>
        <v>0</v>
      </c>
      <c r="P127" s="75">
        <f t="shared" ref="P127:P140" si="150">IF(AO127=0,"",AO127)</f>
        <v>157</v>
      </c>
      <c r="Q127" s="345">
        <f>IF(AP127="","",AP127)</f>
        <v>0</v>
      </c>
      <c r="R127" s="75">
        <f t="shared" ref="R127:R140" si="151">IF(AQ127=0,"",AQ127)</f>
        <v>171</v>
      </c>
      <c r="S127" s="345">
        <f>IF(AR127="","",AR127)</f>
        <v>1</v>
      </c>
      <c r="T127" s="75">
        <f t="shared" ref="T127:T140" si="152">IF(AS127=0,"",AS127)</f>
        <v>178</v>
      </c>
      <c r="U127" s="345">
        <f>IF(AT127="","",AT127)</f>
        <v>1</v>
      </c>
      <c r="V127" s="75">
        <f t="shared" ref="V127:V140" si="153">IF(AU127=0,"",AU127)</f>
        <v>1608</v>
      </c>
      <c r="W127" s="345">
        <f>IF(AV127="","",AV127)</f>
        <v>3</v>
      </c>
      <c r="Z127" s="348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4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6"/>
      <c r="F128" s="78" t="str">
        <f t="shared" si="146"/>
        <v/>
      </c>
      <c r="G128" s="346"/>
      <c r="H128" s="78" t="str">
        <f t="shared" si="147"/>
        <v/>
      </c>
      <c r="I128" s="346"/>
      <c r="J128" s="78" t="str">
        <f t="shared" si="148"/>
        <v/>
      </c>
      <c r="K128" s="346"/>
      <c r="L128" s="78" t="str">
        <f t="shared" si="149"/>
        <v/>
      </c>
      <c r="M128" s="346"/>
      <c r="N128" s="78" t="str">
        <f t="shared" ref="N128:N140" si="168">IF(AM128=0,"",AM128)</f>
        <v/>
      </c>
      <c r="O128" s="346"/>
      <c r="P128" s="78" t="str">
        <f t="shared" si="150"/>
        <v/>
      </c>
      <c r="Q128" s="346"/>
      <c r="R128" s="78" t="str">
        <f t="shared" si="151"/>
        <v/>
      </c>
      <c r="S128" s="346"/>
      <c r="T128" s="78" t="str">
        <f t="shared" si="152"/>
        <v/>
      </c>
      <c r="U128" s="346"/>
      <c r="V128" s="78" t="str">
        <f t="shared" si="153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5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7"/>
      <c r="F129" s="69" t="str">
        <f t="shared" si="146"/>
        <v/>
      </c>
      <c r="G129" s="347"/>
      <c r="H129" s="69" t="str">
        <f t="shared" si="147"/>
        <v/>
      </c>
      <c r="I129" s="347"/>
      <c r="J129" s="69" t="str">
        <f t="shared" si="148"/>
        <v/>
      </c>
      <c r="K129" s="347"/>
      <c r="L129" s="69" t="str">
        <f t="shared" si="149"/>
        <v/>
      </c>
      <c r="M129" s="347"/>
      <c r="N129" s="69" t="str">
        <f t="shared" si="168"/>
        <v/>
      </c>
      <c r="O129" s="347"/>
      <c r="P129" s="69" t="str">
        <f t="shared" si="150"/>
        <v/>
      </c>
      <c r="Q129" s="347"/>
      <c r="R129" s="69" t="str">
        <f t="shared" si="151"/>
        <v/>
      </c>
      <c r="S129" s="347"/>
      <c r="T129" s="69" t="str">
        <f t="shared" si="152"/>
        <v/>
      </c>
      <c r="U129" s="347"/>
      <c r="V129" s="69" t="str">
        <f t="shared" si="153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3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5">
        <f>IF(AD130="","",AD130)</f>
        <v>1</v>
      </c>
      <c r="F130" s="75">
        <f t="shared" si="146"/>
        <v>177</v>
      </c>
      <c r="G130" s="345">
        <f>IF(AF130="","",AF130)</f>
        <v>0</v>
      </c>
      <c r="H130" s="75">
        <f t="shared" si="147"/>
        <v>114</v>
      </c>
      <c r="I130" s="345">
        <f>IF(AH130="","",AH130)</f>
        <v>0</v>
      </c>
      <c r="J130" s="75" t="str">
        <f t="shared" si="148"/>
        <v/>
      </c>
      <c r="K130" s="345">
        <f>IF(AJ130="","",AJ130)</f>
        <v>0</v>
      </c>
      <c r="L130" s="75">
        <f t="shared" si="149"/>
        <v>158</v>
      </c>
      <c r="M130" s="345">
        <f>IF(AL130="","",AL130)</f>
        <v>0</v>
      </c>
      <c r="N130" s="75">
        <f t="shared" si="168"/>
        <v>174</v>
      </c>
      <c r="O130" s="345">
        <f>IF(AN130="","",AN130)</f>
        <v>1</v>
      </c>
      <c r="P130" s="75" t="str">
        <f t="shared" si="150"/>
        <v/>
      </c>
      <c r="Q130" s="345">
        <f>IF(AP130="","",AP130)</f>
        <v>0</v>
      </c>
      <c r="R130" s="75">
        <f t="shared" si="151"/>
        <v>161</v>
      </c>
      <c r="S130" s="345">
        <f>IF(AR130="","",AR130)</f>
        <v>1</v>
      </c>
      <c r="T130" s="75">
        <f t="shared" si="152"/>
        <v>162</v>
      </c>
      <c r="U130" s="345">
        <f>IF(AT130="","",AT130)</f>
        <v>0</v>
      </c>
      <c r="V130" s="75">
        <f t="shared" si="153"/>
        <v>1102</v>
      </c>
      <c r="W130" s="345">
        <f>IF(AV130="","",AV130)</f>
        <v>3</v>
      </c>
      <c r="Z130" s="348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1102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4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6"/>
      <c r="F131" s="78" t="str">
        <f t="shared" si="146"/>
        <v/>
      </c>
      <c r="G131" s="346"/>
      <c r="H131" s="78" t="str">
        <f t="shared" si="147"/>
        <v/>
      </c>
      <c r="I131" s="346"/>
      <c r="J131" s="78">
        <f t="shared" si="148"/>
        <v>139</v>
      </c>
      <c r="K131" s="346"/>
      <c r="L131" s="78" t="str">
        <f t="shared" si="149"/>
        <v/>
      </c>
      <c r="M131" s="346"/>
      <c r="N131" s="78" t="str">
        <f t="shared" si="168"/>
        <v/>
      </c>
      <c r="O131" s="346"/>
      <c r="P131" s="78">
        <f t="shared" si="150"/>
        <v>146</v>
      </c>
      <c r="Q131" s="346"/>
      <c r="R131" s="78" t="str">
        <f t="shared" si="151"/>
        <v/>
      </c>
      <c r="S131" s="346"/>
      <c r="T131" s="78" t="str">
        <f t="shared" si="152"/>
        <v/>
      </c>
      <c r="U131" s="346"/>
      <c r="V131" s="78">
        <f t="shared" si="153"/>
        <v>285</v>
      </c>
      <c r="W131" s="346"/>
      <c r="Z131" s="349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5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7"/>
      <c r="F132" s="69" t="str">
        <f t="shared" si="146"/>
        <v/>
      </c>
      <c r="G132" s="347"/>
      <c r="H132" s="69" t="str">
        <f t="shared" si="147"/>
        <v/>
      </c>
      <c r="I132" s="347"/>
      <c r="J132" s="69" t="str">
        <f t="shared" si="148"/>
        <v/>
      </c>
      <c r="K132" s="347"/>
      <c r="L132" s="69" t="str">
        <f t="shared" si="149"/>
        <v/>
      </c>
      <c r="M132" s="347"/>
      <c r="N132" s="69" t="str">
        <f t="shared" si="168"/>
        <v/>
      </c>
      <c r="O132" s="347"/>
      <c r="P132" s="69" t="str">
        <f t="shared" si="150"/>
        <v/>
      </c>
      <c r="Q132" s="347"/>
      <c r="R132" s="69" t="str">
        <f t="shared" si="151"/>
        <v/>
      </c>
      <c r="S132" s="347"/>
      <c r="T132" s="69" t="str">
        <f t="shared" si="152"/>
        <v/>
      </c>
      <c r="U132" s="347"/>
      <c r="V132" s="69" t="str">
        <f t="shared" si="153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3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5">
        <f>IF(AD133="","",AD133)</f>
        <v>1</v>
      </c>
      <c r="F133" s="75">
        <f t="shared" si="146"/>
        <v>141</v>
      </c>
      <c r="G133" s="345">
        <f>IF(AF133="","",AF133)</f>
        <v>0</v>
      </c>
      <c r="H133" s="75" t="str">
        <f t="shared" si="147"/>
        <v/>
      </c>
      <c r="I133" s="345">
        <f>IF(AH133="","",AH133)</f>
        <v>0</v>
      </c>
      <c r="J133" s="75" t="str">
        <f t="shared" si="148"/>
        <v/>
      </c>
      <c r="K133" s="345">
        <f>IF(AJ133="","",AJ133)</f>
        <v>0</v>
      </c>
      <c r="L133" s="75" t="str">
        <f t="shared" si="149"/>
        <v/>
      </c>
      <c r="M133" s="345">
        <f>IF(AL133="","",AL133)</f>
        <v>0</v>
      </c>
      <c r="N133" s="75" t="str">
        <f t="shared" si="168"/>
        <v/>
      </c>
      <c r="O133" s="345">
        <f>IF(AN133="","",AN133)</f>
        <v>0</v>
      </c>
      <c r="P133" s="75" t="str">
        <f t="shared" si="150"/>
        <v/>
      </c>
      <c r="Q133" s="345">
        <f>IF(AP133="","",AP133)</f>
        <v>0</v>
      </c>
      <c r="R133" s="75" t="str">
        <f t="shared" si="151"/>
        <v/>
      </c>
      <c r="S133" s="345">
        <f>IF(AR133="","",AR133)</f>
        <v>0</v>
      </c>
      <c r="T133" s="75" t="str">
        <f t="shared" si="152"/>
        <v/>
      </c>
      <c r="U133" s="345">
        <f>IF(AT133="","",AT133)</f>
        <v>0</v>
      </c>
      <c r="V133" s="75">
        <f t="shared" si="153"/>
        <v>290</v>
      </c>
      <c r="W133" s="345">
        <f>IF(AV133="","",AV133)</f>
        <v>1</v>
      </c>
      <c r="Z133" s="348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290</v>
      </c>
      <c r="AV133" s="111">
        <f>SUM(AD133+AF133+AH133+AJ133+AL133+AN133+AP133+AR133+AT133)</f>
        <v>1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4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6"/>
      <c r="F134" s="78" t="str">
        <f t="shared" si="146"/>
        <v/>
      </c>
      <c r="G134" s="346"/>
      <c r="H134" s="78">
        <f t="shared" si="147"/>
        <v>163</v>
      </c>
      <c r="I134" s="346"/>
      <c r="J134" s="78">
        <f t="shared" si="148"/>
        <v>161</v>
      </c>
      <c r="K134" s="346"/>
      <c r="L134" s="78">
        <f t="shared" si="149"/>
        <v>145</v>
      </c>
      <c r="M134" s="346"/>
      <c r="N134" s="78">
        <f t="shared" si="168"/>
        <v>174</v>
      </c>
      <c r="O134" s="346"/>
      <c r="P134" s="78">
        <f t="shared" si="150"/>
        <v>174</v>
      </c>
      <c r="Q134" s="346"/>
      <c r="R134" s="78">
        <f t="shared" si="151"/>
        <v>147</v>
      </c>
      <c r="S134" s="346"/>
      <c r="T134" s="78">
        <f t="shared" si="152"/>
        <v>128</v>
      </c>
      <c r="U134" s="346"/>
      <c r="V134" s="78">
        <f t="shared" si="153"/>
        <v>1092</v>
      </c>
      <c r="W134" s="346"/>
      <c r="Z134" s="349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5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7"/>
      <c r="F135" s="69" t="str">
        <f t="shared" si="146"/>
        <v/>
      </c>
      <c r="G135" s="347"/>
      <c r="H135" s="69" t="str">
        <f t="shared" si="147"/>
        <v/>
      </c>
      <c r="I135" s="347"/>
      <c r="J135" s="69" t="str">
        <f t="shared" si="148"/>
        <v/>
      </c>
      <c r="K135" s="347"/>
      <c r="L135" s="69" t="str">
        <f t="shared" si="149"/>
        <v/>
      </c>
      <c r="M135" s="347"/>
      <c r="N135" s="69" t="str">
        <f t="shared" si="168"/>
        <v/>
      </c>
      <c r="O135" s="347"/>
      <c r="P135" s="69" t="str">
        <f t="shared" si="150"/>
        <v/>
      </c>
      <c r="Q135" s="347"/>
      <c r="R135" s="69" t="str">
        <f t="shared" si="151"/>
        <v/>
      </c>
      <c r="S135" s="347"/>
      <c r="T135" s="69" t="str">
        <f t="shared" si="152"/>
        <v/>
      </c>
      <c r="U135" s="347"/>
      <c r="V135" s="69" t="str">
        <f t="shared" si="153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3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5">
        <f>IF(AD136="","",AD136)</f>
        <v>1</v>
      </c>
      <c r="F136" s="75">
        <f t="shared" si="146"/>
        <v>189</v>
      </c>
      <c r="G136" s="345">
        <f>IF(AF136="","",AF136)</f>
        <v>0</v>
      </c>
      <c r="H136" s="75">
        <f t="shared" si="147"/>
        <v>156</v>
      </c>
      <c r="I136" s="345">
        <f>IF(AH136="","",AH136)</f>
        <v>0</v>
      </c>
      <c r="J136" s="75">
        <f t="shared" si="148"/>
        <v>177</v>
      </c>
      <c r="K136" s="345">
        <f>IF(AJ136="","",AJ136)</f>
        <v>1</v>
      </c>
      <c r="L136" s="75">
        <f t="shared" si="149"/>
        <v>167</v>
      </c>
      <c r="M136" s="345">
        <f>IF(AL136="","",AL136)</f>
        <v>0</v>
      </c>
      <c r="N136" s="75">
        <f t="shared" si="168"/>
        <v>182</v>
      </c>
      <c r="O136" s="345">
        <f>IF(AN136="","",AN136)</f>
        <v>0</v>
      </c>
      <c r="P136" s="75">
        <f t="shared" si="150"/>
        <v>158</v>
      </c>
      <c r="Q136" s="345">
        <f>IF(AP136="","",AP136)</f>
        <v>0</v>
      </c>
      <c r="R136" s="75">
        <f t="shared" si="151"/>
        <v>171</v>
      </c>
      <c r="S136" s="345">
        <f>IF(AR136="","",AR136)</f>
        <v>0</v>
      </c>
      <c r="T136" s="75">
        <f t="shared" si="152"/>
        <v>117</v>
      </c>
      <c r="U136" s="345">
        <f>IF(AT136="","",AT136)</f>
        <v>0</v>
      </c>
      <c r="V136" s="75">
        <f t="shared" si="153"/>
        <v>1506</v>
      </c>
      <c r="W136" s="345">
        <f>IF(AV136="","",AV136)</f>
        <v>2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1506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4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6"/>
      <c r="F137" s="78" t="str">
        <f t="shared" si="146"/>
        <v/>
      </c>
      <c r="G137" s="346"/>
      <c r="H137" s="78" t="str">
        <f t="shared" si="147"/>
        <v/>
      </c>
      <c r="I137" s="346"/>
      <c r="J137" s="78" t="str">
        <f t="shared" si="148"/>
        <v/>
      </c>
      <c r="K137" s="346"/>
      <c r="L137" s="78" t="str">
        <f t="shared" si="149"/>
        <v/>
      </c>
      <c r="M137" s="346"/>
      <c r="N137" s="78" t="str">
        <f t="shared" si="168"/>
        <v/>
      </c>
      <c r="O137" s="346"/>
      <c r="P137" s="78" t="str">
        <f t="shared" si="150"/>
        <v/>
      </c>
      <c r="Q137" s="346"/>
      <c r="R137" s="78" t="str">
        <f t="shared" si="151"/>
        <v/>
      </c>
      <c r="S137" s="346"/>
      <c r="T137" s="78" t="str">
        <f t="shared" si="152"/>
        <v/>
      </c>
      <c r="U137" s="346"/>
      <c r="V137" s="78" t="str">
        <f t="shared" si="153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5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7"/>
      <c r="F138" s="69" t="str">
        <f t="shared" si="146"/>
        <v/>
      </c>
      <c r="G138" s="347"/>
      <c r="H138" s="69" t="str">
        <f t="shared" si="147"/>
        <v/>
      </c>
      <c r="I138" s="347"/>
      <c r="J138" s="69" t="str">
        <f t="shared" si="148"/>
        <v/>
      </c>
      <c r="K138" s="347"/>
      <c r="L138" s="69" t="str">
        <f t="shared" si="149"/>
        <v/>
      </c>
      <c r="M138" s="347"/>
      <c r="N138" s="69" t="str">
        <f t="shared" si="168"/>
        <v/>
      </c>
      <c r="O138" s="347"/>
      <c r="P138" s="69" t="str">
        <f t="shared" si="150"/>
        <v/>
      </c>
      <c r="Q138" s="347"/>
      <c r="R138" s="69" t="str">
        <f t="shared" si="151"/>
        <v/>
      </c>
      <c r="S138" s="347"/>
      <c r="T138" s="69" t="str">
        <f t="shared" si="152"/>
        <v/>
      </c>
      <c r="U138" s="347"/>
      <c r="V138" s="69" t="str">
        <f t="shared" si="153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0</v>
      </c>
      <c r="V139" s="83">
        <f t="shared" si="153"/>
        <v>5883</v>
      </c>
      <c r="W139" s="84">
        <f>IF(AV139="","",AV139)</f>
        <v>2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0</v>
      </c>
      <c r="AU139" s="122">
        <f>SUM(AC139+AE139+AG139+AI139+AK139+AM139+AO139+AQ139+AS139)</f>
        <v>5883</v>
      </c>
      <c r="AV139" s="123">
        <f>SUM(AD139+AF139+AH139+AJ139+AL139+AN139+AP139+AR139+AT139)</f>
        <v>2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1</v>
      </c>
      <c r="V140" s="86" t="str">
        <f t="shared" si="153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11.005883000000001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3">
        <f t="shared" ref="D142:M144" si="181">IF(AC142=0,"",AC142)</f>
        <v>9</v>
      </c>
      <c r="E142" s="353" t="str">
        <f t="shared" si="181"/>
        <v/>
      </c>
      <c r="F142" s="353">
        <f t="shared" si="181"/>
        <v>8</v>
      </c>
      <c r="G142" s="353" t="str">
        <f t="shared" si="181"/>
        <v/>
      </c>
      <c r="H142" s="353">
        <f t="shared" si="181"/>
        <v>3</v>
      </c>
      <c r="I142" s="353" t="str">
        <f t="shared" si="181"/>
        <v/>
      </c>
      <c r="J142" s="353">
        <f t="shared" si="181"/>
        <v>1</v>
      </c>
      <c r="K142" s="353" t="str">
        <f t="shared" si="181"/>
        <v/>
      </c>
      <c r="L142" s="353">
        <f t="shared" si="181"/>
        <v>7</v>
      </c>
      <c r="M142" s="353" t="str">
        <f t="shared" si="181"/>
        <v/>
      </c>
      <c r="N142" s="353">
        <f t="shared" ref="N142:U144" si="182">IF(AM142=0,"",AM142)</f>
        <v>2</v>
      </c>
      <c r="O142" s="353" t="str">
        <f t="shared" si="182"/>
        <v/>
      </c>
      <c r="P142" s="353">
        <f t="shared" si="182"/>
        <v>6</v>
      </c>
      <c r="Q142" s="353" t="str">
        <f t="shared" si="182"/>
        <v/>
      </c>
      <c r="R142" s="353">
        <f t="shared" si="182"/>
        <v>10</v>
      </c>
      <c r="S142" s="353" t="str">
        <f t="shared" si="182"/>
        <v/>
      </c>
      <c r="T142" s="353">
        <f t="shared" si="182"/>
        <v>4</v>
      </c>
      <c r="U142" s="353" t="str">
        <f t="shared" si="182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VLOOKUP($AA122,Schlüssel!$A$5:$K$14,3)</f>
        <v>9</v>
      </c>
      <c r="AD142" s="368"/>
      <c r="AE142" s="367">
        <f>VLOOKUP($AA122,Schlüssel!$A$5:$K$14,4)</f>
        <v>8</v>
      </c>
      <c r="AF142" s="368"/>
      <c r="AG142" s="367">
        <f>VLOOKUP($AA122,Schlüssel!$A$5:$K$14,5)</f>
        <v>3</v>
      </c>
      <c r="AH142" s="368"/>
      <c r="AI142" s="367">
        <f>VLOOKUP($AA122,Schlüssel!$A$5:$K$14,6)</f>
        <v>1</v>
      </c>
      <c r="AJ142" s="368"/>
      <c r="AK142" s="367">
        <f>VLOOKUP($AA122,Schlüssel!$A$5:$K$14,7)</f>
        <v>7</v>
      </c>
      <c r="AL142" s="368"/>
      <c r="AM142" s="367">
        <f>VLOOKUP($AA122,Schlüssel!$A$5:$K$14,8)</f>
        <v>2</v>
      </c>
      <c r="AN142" s="368"/>
      <c r="AO142" s="367">
        <f>VLOOKUP($AA122,Schlüssel!$A$5:$K$14,9)</f>
        <v>6</v>
      </c>
      <c r="AP142" s="368"/>
      <c r="AQ142" s="367">
        <f>VLOOKUP($AA122,Schlüssel!$A$5:$K$14,10)</f>
        <v>10</v>
      </c>
      <c r="AR142" s="368"/>
      <c r="AS142" s="367">
        <f>VLOOKUP($AA122,Schlüssel!$A$5:$K$14,11)</f>
        <v>4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5" t="str">
        <f t="shared" si="181"/>
        <v>RW Lichtenhof 69 Stein 2</v>
      </c>
      <c r="E143" s="356" t="str">
        <f t="shared" si="181"/>
        <v/>
      </c>
      <c r="F143" s="355" t="str">
        <f t="shared" si="181"/>
        <v>EPA München 1</v>
      </c>
      <c r="G143" s="356" t="str">
        <f t="shared" si="181"/>
        <v/>
      </c>
      <c r="H143" s="355" t="str">
        <f t="shared" si="181"/>
        <v>Highroller Rosenheim</v>
      </c>
      <c r="I143" s="356" t="str">
        <f t="shared" si="181"/>
        <v/>
      </c>
      <c r="J143" s="355" t="str">
        <f t="shared" si="181"/>
        <v>Praetoria Regensburg</v>
      </c>
      <c r="K143" s="356" t="str">
        <f t="shared" si="181"/>
        <v/>
      </c>
      <c r="L143" s="355" t="str">
        <f t="shared" si="181"/>
        <v>Frankenpower Nürnberg</v>
      </c>
      <c r="M143" s="356" t="str">
        <f t="shared" si="181"/>
        <v/>
      </c>
      <c r="N143" s="355" t="str">
        <f t="shared" si="182"/>
        <v>BK München 2</v>
      </c>
      <c r="O143" s="356" t="str">
        <f t="shared" si="182"/>
        <v/>
      </c>
      <c r="P143" s="355" t="str">
        <f t="shared" si="182"/>
        <v>Phönix 03 Lauf</v>
      </c>
      <c r="Q143" s="356" t="str">
        <f t="shared" si="182"/>
        <v/>
      </c>
      <c r="R143" s="355" t="str">
        <f t="shared" si="182"/>
        <v>BK München 4</v>
      </c>
      <c r="S143" s="356" t="str">
        <f t="shared" si="182"/>
        <v/>
      </c>
      <c r="T143" s="355" t="str">
        <f t="shared" si="182"/>
        <v>BK München 3</v>
      </c>
      <c r="U143" s="356" t="str">
        <f t="shared" si="182"/>
        <v/>
      </c>
      <c r="V143" s="360"/>
      <c r="W143" s="360"/>
      <c r="AA143" s="90"/>
      <c r="AB143" s="86"/>
      <c r="AC143" s="355" t="str">
        <f>VLOOKUP(AC142,Schlüssel!$A$5:$K$14,2)</f>
        <v>RW Lichtenhof 69 Stein 2</v>
      </c>
      <c r="AD143" s="356"/>
      <c r="AE143" s="355" t="str">
        <f>VLOOKUP(AE142,Schlüssel!$A$5:$K$14,2)</f>
        <v>EPA München 1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Praetoria Regensburg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BK München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BK München 3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7" t="str">
        <f t="shared" si="181"/>
        <v/>
      </c>
      <c r="E144" s="357" t="str">
        <f t="shared" si="181"/>
        <v/>
      </c>
      <c r="F144" s="357" t="str">
        <f t="shared" si="181"/>
        <v/>
      </c>
      <c r="G144" s="357" t="str">
        <f t="shared" si="181"/>
        <v/>
      </c>
      <c r="H144" s="357" t="str">
        <f t="shared" si="181"/>
        <v/>
      </c>
      <c r="I144" s="357" t="str">
        <f t="shared" si="181"/>
        <v/>
      </c>
      <c r="J144" s="357" t="str">
        <f t="shared" si="181"/>
        <v/>
      </c>
      <c r="K144" s="357" t="str">
        <f t="shared" si="181"/>
        <v/>
      </c>
      <c r="L144" s="357" t="str">
        <f t="shared" si="181"/>
        <v/>
      </c>
      <c r="M144" s="357" t="str">
        <f t="shared" si="181"/>
        <v/>
      </c>
      <c r="N144" s="357" t="str">
        <f t="shared" si="182"/>
        <v/>
      </c>
      <c r="O144" s="357" t="str">
        <f t="shared" si="182"/>
        <v/>
      </c>
      <c r="P144" s="357" t="str">
        <f t="shared" si="182"/>
        <v/>
      </c>
      <c r="Q144" s="357" t="str">
        <f t="shared" si="182"/>
        <v/>
      </c>
      <c r="R144" s="357" t="str">
        <f t="shared" si="182"/>
        <v/>
      </c>
      <c r="S144" s="357" t="str">
        <f t="shared" si="182"/>
        <v/>
      </c>
      <c r="T144" s="357" t="str">
        <f t="shared" si="182"/>
        <v/>
      </c>
      <c r="U144" s="358" t="str">
        <f t="shared" si="182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si="179"/>
        <v>Spieler 1</v>
      </c>
      <c r="C145" s="372" t="str">
        <f t="shared" si="180"/>
        <v/>
      </c>
      <c r="D145" s="359">
        <f>IF(AC145=301,"",AC145)</f>
        <v>212</v>
      </c>
      <c r="E145" s="359" t="str">
        <f>IF(AD145=0,"",AD145)</f>
        <v/>
      </c>
      <c r="F145" s="359">
        <f>IF(AE145=301,"",AE145)</f>
        <v>200</v>
      </c>
      <c r="G145" s="359" t="str">
        <f>IF(AF145=0,"",AF145)</f>
        <v/>
      </c>
      <c r="H145" s="359">
        <f>IF(AG145=301,"",AG145)</f>
        <v>214</v>
      </c>
      <c r="I145" s="359" t="str">
        <f>IF(AH145=0,"",AH145)</f>
        <v/>
      </c>
      <c r="J145" s="359">
        <f>IF(AI145=301,"",AI145)</f>
        <v>195</v>
      </c>
      <c r="K145" s="359" t="str">
        <f>IF(AJ145=0,"",AJ145)</f>
        <v/>
      </c>
      <c r="L145" s="359">
        <f>IF(AK145=301,"",AK145)</f>
        <v>157</v>
      </c>
      <c r="M145" s="359" t="str">
        <f>IF(AL145=0,"",AL145)</f>
        <v/>
      </c>
      <c r="N145" s="359">
        <f>IF(AM145=301,"",AM145)</f>
        <v>269</v>
      </c>
      <c r="O145" s="359" t="str">
        <f>IF(AN145=0,"",AN145)</f>
        <v/>
      </c>
      <c r="P145" s="359">
        <f>IF(AO145=301,"",AO145)</f>
        <v>201</v>
      </c>
      <c r="Q145" s="359" t="str">
        <f>IF(AP145=0,"",AP145)</f>
        <v/>
      </c>
      <c r="R145" s="359">
        <f>IF(AQ145=301,"",AQ145)</f>
        <v>170</v>
      </c>
      <c r="S145" s="359" t="str">
        <f>IF(AR145=0,"",AR145)</f>
        <v/>
      </c>
      <c r="T145" s="359">
        <f>IF(AS145=301,"",AS145)</f>
        <v>167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212</v>
      </c>
      <c r="AD145" s="366"/>
      <c r="AE145" s="365">
        <f>ABS(INDEX(AE:AE,MATCH(AE142,$AA:$AA,0)+5)+INDEX(AE:AE,MATCH(AE142,$AA:$AA,0)+6)+INDEX(AE:AE,MATCH(AE142,$AA:$AA,0)+7))</f>
        <v>200</v>
      </c>
      <c r="AF145" s="366"/>
      <c r="AG145" s="365">
        <f>ABS(INDEX(AG:AG,MATCH(AG142,$AA:$AA,0)+5)+INDEX(AG:AG,MATCH(AG142,$AA:$AA,0)+6)+INDEX(AG:AG,MATCH(AG142,$AA:$AA,0)+7))</f>
        <v>214</v>
      </c>
      <c r="AH145" s="366"/>
      <c r="AI145" s="365">
        <f>ABS(INDEX(AI:AI,MATCH(AI142,$AA:$AA,0)+5)+INDEX(AI:AI,MATCH(AI142,$AA:$AA,0)+6)+INDEX(AI:AI,MATCH(AI142,$AA:$AA,0)+7))</f>
        <v>195</v>
      </c>
      <c r="AJ145" s="366"/>
      <c r="AK145" s="365">
        <f>ABS(INDEX(AK:AK,MATCH(AK142,$AA:$AA,0)+5)+INDEX(AK:AK,MATCH(AK142,$AA:$AA,0)+6)+INDEX(AK:AK,MATCH(AK142,$AA:$AA,0)+7))</f>
        <v>157</v>
      </c>
      <c r="AL145" s="366"/>
      <c r="AM145" s="365">
        <f>ABS(INDEX(AM:AM,MATCH(AM142,$AA:$AA,0)+5)+INDEX(AM:AM,MATCH(AM142,$AA:$AA,0)+6)+INDEX(AM:AM,MATCH(AM142,$AA:$AA,0)+7))</f>
        <v>269</v>
      </c>
      <c r="AN145" s="366"/>
      <c r="AO145" s="365">
        <f>ABS(INDEX(AO:AO,MATCH(AO142,$AA:$AA,0)+5)+INDEX(AO:AO,MATCH(AO142,$AA:$AA,0)+6)+INDEX(AO:AO,MATCH(AO142,$AA:$AA,0)+7))</f>
        <v>201</v>
      </c>
      <c r="AP145" s="366"/>
      <c r="AQ145" s="365">
        <f>ABS(INDEX(AQ:AQ,MATCH(AQ142,$AA:$AA,0)+5)+INDEX(AQ:AQ,MATCH(AQ142,$AA:$AA,0)+6)+INDEX(AQ:AQ,MATCH(AQ142,$AA:$AA,0)+7))</f>
        <v>170</v>
      </c>
      <c r="AR145" s="366"/>
      <c r="AS145" s="365">
        <f>ABS(INDEX(AS:AS,MATCH(AS142,$AA:$AA,0)+5)+INDEX(AS:AS,MATCH(AS142,$AA:$AA,0)+6)+INDEX(AS:AS,MATCH(AS142,$AA:$AA,0)+7))</f>
        <v>167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9"/>
        <v>Spieler 2</v>
      </c>
      <c r="C146" s="372" t="str">
        <f t="shared" si="180"/>
        <v/>
      </c>
      <c r="D146" s="359">
        <f>IF(AC146=301,"",AC146)</f>
        <v>132</v>
      </c>
      <c r="E146" s="359" t="str">
        <f>IF(AD146=0,"",AD146)</f>
        <v/>
      </c>
      <c r="F146" s="359">
        <f>IF(AE146=301,"",AE146)</f>
        <v>205</v>
      </c>
      <c r="G146" s="359" t="str">
        <f>IF(AF146=0,"",AF146)</f>
        <v/>
      </c>
      <c r="H146" s="359">
        <f>IF(AG146=301,"",AG146)</f>
        <v>193</v>
      </c>
      <c r="I146" s="359" t="str">
        <f>IF(AH146=0,"",AH146)</f>
        <v/>
      </c>
      <c r="J146" s="359">
        <f>IF(AI146=301,"",AI146)</f>
        <v>192</v>
      </c>
      <c r="K146" s="359" t="str">
        <f>IF(AJ146=0,"",AJ146)</f>
        <v/>
      </c>
      <c r="L146" s="359">
        <f>IF(AK146=301,"",AK146)</f>
        <v>180</v>
      </c>
      <c r="M146" s="359" t="str">
        <f>IF(AL146=0,"",AL146)</f>
        <v/>
      </c>
      <c r="N146" s="359">
        <f>IF(AM146=301,"",AM146)</f>
        <v>160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152</v>
      </c>
      <c r="S146" s="359" t="str">
        <f>IF(AR146=0,"",AR146)</f>
        <v/>
      </c>
      <c r="T146" s="359">
        <f>IF(AS146=301,"",AS146)</f>
        <v>170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132</v>
      </c>
      <c r="AD146" s="364"/>
      <c r="AE146" s="363">
        <f>ABS(INDEX(AE:AE,MATCH(AE142,$AA:$AA,0)+8)+INDEX(AE:AE,MATCH(AE142,$AA:$AA,0)+9)+INDEX(AE:AE,MATCH(AE142,$AA:$AA,0)+10))</f>
        <v>205</v>
      </c>
      <c r="AF146" s="364"/>
      <c r="AG146" s="363">
        <f>ABS(INDEX(AG:AG,MATCH(AG142,$AA:$AA,0)+8)+INDEX(AG:AG,MATCH(AG142,$AA:$AA,0)+9)+INDEX(AG:AG,MATCH(AG142,$AA:$AA,0)+10))</f>
        <v>193</v>
      </c>
      <c r="AH146" s="364"/>
      <c r="AI146" s="363">
        <f>ABS(INDEX(AI:AI,MATCH(AI142,$AA:$AA,0)+8)+INDEX(AI:AI,MATCH(AI142,$AA:$AA,0)+9)+INDEX(AI:AI,MATCH(AI142,$AA:$AA,0)+10))</f>
        <v>192</v>
      </c>
      <c r="AJ146" s="364"/>
      <c r="AK146" s="363">
        <f>ABS(INDEX(AK:AK,MATCH(AK142,$AA:$AA,0)+8)+INDEX(AK:AK,MATCH(AK142,$AA:$AA,0)+9)+INDEX(AK:AK,MATCH(AK142,$AA:$AA,0)+10))</f>
        <v>180</v>
      </c>
      <c r="AL146" s="364"/>
      <c r="AM146" s="363">
        <f>ABS(INDEX(AM:AM,MATCH(AM142,$AA:$AA,0)+8)+INDEX(AM:AM,MATCH(AM142,$AA:$AA,0)+9)+INDEX(AM:AM,MATCH(AM142,$AA:$AA,0)+10))</f>
        <v>160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152</v>
      </c>
      <c r="AR146" s="364"/>
      <c r="AS146" s="363">
        <f>ABS(INDEX(AS:AS,MATCH(AS142,$AA:$AA,0)+8)+INDEX(AS:AS,MATCH(AS142,$AA:$AA,0)+9)+INDEX(AS:AS,MATCH(AS142,$AA:$AA,0)+10))</f>
        <v>170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9"/>
        <v>Spieler 3</v>
      </c>
      <c r="C147" s="372" t="str">
        <f t="shared" si="180"/>
        <v/>
      </c>
      <c r="D147" s="359">
        <f>IF(AC147=301,"",AC147)</f>
        <v>138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176</v>
      </c>
      <c r="I147" s="359" t="str">
        <f>IF(AH147=0,"",AH147)</f>
        <v/>
      </c>
      <c r="J147" s="359">
        <f>IF(AI147=301,"",AI147)</f>
        <v>194</v>
      </c>
      <c r="K147" s="359" t="str">
        <f>IF(AJ147=0,"",AJ147)</f>
        <v/>
      </c>
      <c r="L147" s="359">
        <f>IF(AK147=301,"",AK147)</f>
        <v>170</v>
      </c>
      <c r="M147" s="359" t="str">
        <f>IF(AL147=0,"",AL147)</f>
        <v/>
      </c>
      <c r="N147" s="359">
        <f>IF(AM147=301,"",AM147)</f>
        <v>235</v>
      </c>
      <c r="O147" s="359" t="str">
        <f>IF(AN147=0,"",AN147)</f>
        <v/>
      </c>
      <c r="P147" s="359">
        <f>IF(AO147=301,"",AO147)</f>
        <v>202</v>
      </c>
      <c r="Q147" s="359" t="str">
        <f>IF(AP147=0,"",AP147)</f>
        <v/>
      </c>
      <c r="R147" s="359">
        <f>IF(AQ147=301,"",AQ147)</f>
        <v>211</v>
      </c>
      <c r="S147" s="359" t="str">
        <f>IF(AR147=0,"",AR147)</f>
        <v/>
      </c>
      <c r="T147" s="359">
        <f>IF(AS147=301,"",AS147)</f>
        <v>153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138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176</v>
      </c>
      <c r="AH147" s="364"/>
      <c r="AI147" s="363">
        <f>ABS(INDEX(AI:AI,MATCH(AI142,$AA:$AA,0)+11)+INDEX(AI:AI,MATCH(AI142,$AA:$AA,0)+12)+INDEX(AI:AI,MATCH(AI142,$AA:$AA,0)+13))</f>
        <v>194</v>
      </c>
      <c r="AJ147" s="364"/>
      <c r="AK147" s="363">
        <f>ABS(INDEX(AK:AK,MATCH(AK142,$AA:$AA,0)+11)+INDEX(AK:AK,MATCH(AK142,$AA:$AA,0)+12)+INDEX(AK:AK,MATCH(AK142,$AA:$AA,0)+13))</f>
        <v>170</v>
      </c>
      <c r="AL147" s="364"/>
      <c r="AM147" s="363">
        <f>ABS(INDEX(AM:AM,MATCH(AM142,$AA:$AA,0)+11)+INDEX(AM:AM,MATCH(AM142,$AA:$AA,0)+12)+INDEX(AM:AM,MATCH(AM142,$AA:$AA,0)+13))</f>
        <v>235</v>
      </c>
      <c r="AN147" s="364"/>
      <c r="AO147" s="363">
        <f>ABS(INDEX(AO:AO,MATCH(AO142,$AA:$AA,0)+11)+INDEX(AO:AO,MATCH(AO142,$AA:$AA,0)+12)+INDEX(AO:AO,MATCH(AO142,$AA:$AA,0)+13))</f>
        <v>202</v>
      </c>
      <c r="AP147" s="364"/>
      <c r="AQ147" s="363">
        <f>ABS(INDEX(AQ:AQ,MATCH(AQ142,$AA:$AA,0)+11)+INDEX(AQ:AQ,MATCH(AQ142,$AA:$AA,0)+12)+INDEX(AQ:AQ,MATCH(AQ142,$AA:$AA,0)+13))</f>
        <v>211</v>
      </c>
      <c r="AR147" s="364"/>
      <c r="AS147" s="363">
        <f>ABS(INDEX(AS:AS,MATCH(AS142,$AA:$AA,0)+11)+INDEX(AS:AS,MATCH(AS142,$AA:$AA,0)+12)+INDEX(AS:AS,MATCH(AS142,$AA:$AA,0)+13))</f>
        <v>153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9"/>
        <v>Spieler 4</v>
      </c>
      <c r="C148" s="372" t="str">
        <f t="shared" si="180"/>
        <v/>
      </c>
      <c r="D148" s="359">
        <f>IF(AC148=301,"",AC148)</f>
        <v>146</v>
      </c>
      <c r="E148" s="359" t="str">
        <f>IF(AD148=0,"",AD148)</f>
        <v/>
      </c>
      <c r="F148" s="359">
        <f>IF(AE148=301,"",AE148)</f>
        <v>210</v>
      </c>
      <c r="G148" s="359" t="str">
        <f>IF(AF148=0,"",AF148)</f>
        <v/>
      </c>
      <c r="H148" s="359">
        <f>IF(AG148=301,"",AG148)</f>
        <v>182</v>
      </c>
      <c r="I148" s="359" t="str">
        <f>IF(AH148=0,"",AH148)</f>
        <v/>
      </c>
      <c r="J148" s="359">
        <f>IF(AI148=301,"",AI148)</f>
        <v>126</v>
      </c>
      <c r="K148" s="359" t="str">
        <f>IF(AJ148=0,"",AJ148)</f>
        <v/>
      </c>
      <c r="L148" s="359">
        <f>IF(AK148=301,"",AK148)</f>
        <v>183</v>
      </c>
      <c r="M148" s="359" t="str">
        <f>IF(AL148=0,"",AL148)</f>
        <v/>
      </c>
      <c r="N148" s="359">
        <f>IF(AM148=301,"",AM148)</f>
        <v>183</v>
      </c>
      <c r="O148" s="359" t="str">
        <f>IF(AN148=0,"",AN148)</f>
        <v/>
      </c>
      <c r="P148" s="359">
        <f>IF(AO148=301,"",AO148)</f>
        <v>178</v>
      </c>
      <c r="Q148" s="359" t="str">
        <f>IF(AP148=0,"",AP148)</f>
        <v/>
      </c>
      <c r="R148" s="359">
        <f>IF(AQ148=301,"",AQ148)</f>
        <v>188</v>
      </c>
      <c r="S148" s="359" t="str">
        <f>IF(AR148=0,"",AR148)</f>
        <v/>
      </c>
      <c r="T148" s="359">
        <f>IF(AS148=301,"",AS148)</f>
        <v>156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146</v>
      </c>
      <c r="AD148" s="364"/>
      <c r="AE148" s="363">
        <f>ABS(INDEX(AE:AE,MATCH(AE142,$AA:$AA,0)+14)+INDEX(AE:AE,MATCH(AE142,$AA:$AA,0)+15)+INDEX(AE:AE,MATCH(AE142,$AA:$AA,0)+16))</f>
        <v>210</v>
      </c>
      <c r="AF148" s="364"/>
      <c r="AG148" s="363">
        <f>ABS(INDEX(AG:AG,MATCH(AG142,$AA:$AA,0)+14)+INDEX(AG:AG,MATCH(AG142,$AA:$AA,0)+15)+INDEX(AG:AG,MATCH(AG142,$AA:$AA,0)+16))</f>
        <v>182</v>
      </c>
      <c r="AH148" s="364"/>
      <c r="AI148" s="363">
        <f>ABS(INDEX(AI:AI,MATCH(AI142,$AA:$AA,0)+14)+INDEX(AI:AI,MATCH(AI142,$AA:$AA,0)+15)+INDEX(AI:AI,MATCH(AI142,$AA:$AA,0)+16))</f>
        <v>126</v>
      </c>
      <c r="AJ148" s="364"/>
      <c r="AK148" s="363">
        <f>ABS(INDEX(AK:AK,MATCH(AK142,$AA:$AA,0)+14)+INDEX(AK:AK,MATCH(AK142,$AA:$AA,0)+15)+INDEX(AK:AK,MATCH(AK142,$AA:$AA,0)+16))</f>
        <v>183</v>
      </c>
      <c r="AL148" s="364"/>
      <c r="AM148" s="363">
        <f>ABS(INDEX(AM:AM,MATCH(AM142,$AA:$AA,0)+14)+INDEX(AM:AM,MATCH(AM142,$AA:$AA,0)+15)+INDEX(AM:AM,MATCH(AM142,$AA:$AA,0)+16))</f>
        <v>183</v>
      </c>
      <c r="AN148" s="364"/>
      <c r="AO148" s="363">
        <f>ABS(INDEX(AO:AO,MATCH(AO142,$AA:$AA,0)+14)+INDEX(AO:AO,MATCH(AO142,$AA:$AA,0)+15)+INDEX(AO:AO,MATCH(AO142,$AA:$AA,0)+16))</f>
        <v>178</v>
      </c>
      <c r="AP148" s="364"/>
      <c r="AQ148" s="363">
        <f>ABS(INDEX(AQ:AQ,MATCH(AQ142,$AA:$AA,0)+14)+INDEX(AQ:AQ,MATCH(AQ142,$AA:$AA,0)+15)+INDEX(AQ:AQ,MATCH(AQ142,$AA:$AA,0)+16))</f>
        <v>188</v>
      </c>
      <c r="AR148" s="364"/>
      <c r="AS148" s="363">
        <f>ABS(INDEX(AS:AS,MATCH(AS142,$AA:$AA,0)+14)+INDEX(AS:AS,MATCH(AS142,$AA:$AA,0)+15)+INDEX(AS:AS,MATCH(AS142,$AA:$AA,0)+16))</f>
        <v>156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9"/>
        <v>Gesamt</v>
      </c>
      <c r="C149" s="344" t="str">
        <f t="shared" si="180"/>
        <v/>
      </c>
      <c r="D149" s="362">
        <f>IF(AC149=1505,"",AC149)</f>
        <v>628</v>
      </c>
      <c r="E149" s="362" t="str">
        <f>IF(AD149=0,"",AD149)</f>
        <v/>
      </c>
      <c r="F149" s="362">
        <f>IF(AE149=1505,"",AE149)</f>
        <v>770</v>
      </c>
      <c r="G149" s="362" t="str">
        <f>IF(AF149=0,"",AF149)</f>
        <v/>
      </c>
      <c r="H149" s="362">
        <f>IF(AG149=1505,"",AG149)</f>
        <v>765</v>
      </c>
      <c r="I149" s="362" t="str">
        <f>IF(AH149=0,"",AH149)</f>
        <v/>
      </c>
      <c r="J149" s="362">
        <f>IF(AI149=1505,"",AI149)</f>
        <v>707</v>
      </c>
      <c r="K149" s="362" t="str">
        <f>IF(AJ149=0,"",AJ149)</f>
        <v/>
      </c>
      <c r="L149" s="362">
        <f>IF(AK149=1505,"",AK149)</f>
        <v>690</v>
      </c>
      <c r="M149" s="362" t="str">
        <f>IF(AL149=0,"",AL149)</f>
        <v/>
      </c>
      <c r="N149" s="362">
        <f>IF(AM149=1505,"",AM149)</f>
        <v>847</v>
      </c>
      <c r="O149" s="362" t="str">
        <f>IF(AN149=0,"",AN149)</f>
        <v/>
      </c>
      <c r="P149" s="362">
        <f>IF(AO149=1505,"",AO149)</f>
        <v>770</v>
      </c>
      <c r="Q149" s="362" t="str">
        <f>IF(AP149=0,"",AP149)</f>
        <v/>
      </c>
      <c r="R149" s="362">
        <f>IF(AQ149=1505,"",AQ149)</f>
        <v>721</v>
      </c>
      <c r="S149" s="362" t="str">
        <f>IF(AR149=0,"",AR149)</f>
        <v/>
      </c>
      <c r="T149" s="362">
        <f>IF(AS149=1505,"",AS149)</f>
        <v>646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628</v>
      </c>
      <c r="AD149" s="344"/>
      <c r="AE149" s="343">
        <f>SUM(AE145:AE148)</f>
        <v>770</v>
      </c>
      <c r="AF149" s="344"/>
      <c r="AG149" s="343">
        <f>SUM(AG145:AG148)</f>
        <v>765</v>
      </c>
      <c r="AH149" s="344"/>
      <c r="AI149" s="343">
        <f>SUM(AI145:AI148)</f>
        <v>707</v>
      </c>
      <c r="AJ149" s="344"/>
      <c r="AK149" s="343">
        <f>SUM(AK145:AK148)</f>
        <v>690</v>
      </c>
      <c r="AL149" s="344"/>
      <c r="AM149" s="343">
        <f>SUM(AM145:AM148)</f>
        <v>847</v>
      </c>
      <c r="AN149" s="344"/>
      <c r="AO149" s="343">
        <f>SUM(AO145:AO148)</f>
        <v>770</v>
      </c>
      <c r="AP149" s="344"/>
      <c r="AQ149" s="343">
        <f>SUM(AQ145:AQ148)</f>
        <v>721</v>
      </c>
      <c r="AR149" s="344"/>
      <c r="AS149" s="343">
        <f>SUM(AS145:AS148)</f>
        <v>646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12.10./13.10.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12.10./13.10.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5">
        <f>IF(AD157="","",AD157)</f>
        <v>1</v>
      </c>
      <c r="F157" s="75">
        <f t="shared" ref="F157:F170" si="183">IF(AE157=0,"",AE157)</f>
        <v>172</v>
      </c>
      <c r="G157" s="345">
        <f>IF(AF157="","",AF157)</f>
        <v>1</v>
      </c>
      <c r="H157" s="75">
        <f t="shared" ref="H157:H170" si="184">IF(AG157=0,"",AG157)</f>
        <v>185</v>
      </c>
      <c r="I157" s="345">
        <f>IF(AH157="","",AH157)</f>
        <v>1</v>
      </c>
      <c r="J157" s="75">
        <f t="shared" ref="J157:J170" si="185">IF(AI157=0,"",AI157)</f>
        <v>158</v>
      </c>
      <c r="K157" s="345">
        <f>IF(AJ157="","",AJ157)</f>
        <v>0</v>
      </c>
      <c r="L157" s="75">
        <f t="shared" ref="L157:L170" si="186">IF(AK157=0,"",AK157)</f>
        <v>135</v>
      </c>
      <c r="M157" s="345">
        <f>IF(AL157="","",AL157)</f>
        <v>0</v>
      </c>
      <c r="N157" s="75">
        <f>IF(AM157=0,"",AM157)</f>
        <v>158</v>
      </c>
      <c r="O157" s="345">
        <f>IF(AN157="","",AN157)</f>
        <v>0</v>
      </c>
      <c r="P157" s="75">
        <f t="shared" ref="P157:P170" si="187">IF(AO157=0,"",AO157)</f>
        <v>201</v>
      </c>
      <c r="Q157" s="345">
        <f>IF(AP157="","",AP157)</f>
        <v>1</v>
      </c>
      <c r="R157" s="75">
        <f t="shared" ref="R157:R170" si="188">IF(AQ157=0,"",AQ157)</f>
        <v>161</v>
      </c>
      <c r="S157" s="345">
        <f>IF(AR157="","",AR157)</f>
        <v>1</v>
      </c>
      <c r="T157" s="75">
        <f t="shared" ref="T157:T170" si="189">IF(AS157=0,"",AS157)</f>
        <v>156</v>
      </c>
      <c r="U157" s="345">
        <f>IF(AT157="","",AT157)</f>
        <v>0</v>
      </c>
      <c r="V157" s="75">
        <f t="shared" ref="V157:V170" si="190">IF(AU157=0,"",AU157)</f>
        <v>1540</v>
      </c>
      <c r="W157" s="345">
        <f>IF(AV157="","",AV157)</f>
        <v>5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0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4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6"/>
      <c r="F158" s="78" t="str">
        <f t="shared" si="183"/>
        <v/>
      </c>
      <c r="G158" s="346"/>
      <c r="H158" s="78" t="str">
        <f t="shared" si="184"/>
        <v/>
      </c>
      <c r="I158" s="346"/>
      <c r="J158" s="78" t="str">
        <f t="shared" si="185"/>
        <v/>
      </c>
      <c r="K158" s="346"/>
      <c r="L158" s="78" t="str">
        <f t="shared" si="186"/>
        <v/>
      </c>
      <c r="M158" s="346"/>
      <c r="N158" s="78" t="str">
        <f t="shared" ref="N158:N170" si="205">IF(AM158=0,"",AM158)</f>
        <v/>
      </c>
      <c r="O158" s="346"/>
      <c r="P158" s="78" t="str">
        <f t="shared" si="187"/>
        <v/>
      </c>
      <c r="Q158" s="346"/>
      <c r="R158" s="78" t="str">
        <f t="shared" si="188"/>
        <v/>
      </c>
      <c r="S158" s="346"/>
      <c r="T158" s="78" t="str">
        <f t="shared" si="189"/>
        <v/>
      </c>
      <c r="U158" s="346"/>
      <c r="V158" s="78" t="str">
        <f t="shared" si="190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5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7"/>
      <c r="F159" s="69" t="str">
        <f t="shared" si="183"/>
        <v/>
      </c>
      <c r="G159" s="347"/>
      <c r="H159" s="69" t="str">
        <f t="shared" si="184"/>
        <v/>
      </c>
      <c r="I159" s="347"/>
      <c r="J159" s="69" t="str">
        <f t="shared" si="185"/>
        <v/>
      </c>
      <c r="K159" s="347"/>
      <c r="L159" s="69" t="str">
        <f t="shared" si="186"/>
        <v/>
      </c>
      <c r="M159" s="347"/>
      <c r="N159" s="69" t="str">
        <f t="shared" si="205"/>
        <v/>
      </c>
      <c r="O159" s="347"/>
      <c r="P159" s="69" t="str">
        <f t="shared" si="187"/>
        <v/>
      </c>
      <c r="Q159" s="347"/>
      <c r="R159" s="69" t="str">
        <f t="shared" si="188"/>
        <v/>
      </c>
      <c r="S159" s="347"/>
      <c r="T159" s="69" t="str">
        <f t="shared" si="189"/>
        <v/>
      </c>
      <c r="U159" s="347"/>
      <c r="V159" s="69" t="str">
        <f t="shared" si="190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3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5">
        <f>IF(AD160="","",AD160)</f>
        <v>1</v>
      </c>
      <c r="F160" s="75">
        <f t="shared" si="183"/>
        <v>220</v>
      </c>
      <c r="G160" s="345">
        <f>IF(AF160="","",AF160)</f>
        <v>1</v>
      </c>
      <c r="H160" s="75">
        <f t="shared" si="184"/>
        <v>181</v>
      </c>
      <c r="I160" s="345">
        <f>IF(AH160="","",AH160)</f>
        <v>1</v>
      </c>
      <c r="J160" s="75">
        <f t="shared" si="185"/>
        <v>184</v>
      </c>
      <c r="K160" s="345">
        <f>IF(AJ160="","",AJ160)</f>
        <v>0</v>
      </c>
      <c r="L160" s="75">
        <f t="shared" si="186"/>
        <v>186</v>
      </c>
      <c r="M160" s="345">
        <f>IF(AL160="","",AL160)</f>
        <v>0</v>
      </c>
      <c r="N160" s="75">
        <f t="shared" si="205"/>
        <v>139</v>
      </c>
      <c r="O160" s="345">
        <f>IF(AN160="","",AN160)</f>
        <v>0</v>
      </c>
      <c r="P160" s="75">
        <f t="shared" si="187"/>
        <v>189</v>
      </c>
      <c r="Q160" s="345">
        <f>IF(AP160="","",AP160)</f>
        <v>1</v>
      </c>
      <c r="R160" s="75">
        <f t="shared" si="188"/>
        <v>205</v>
      </c>
      <c r="S160" s="345">
        <f>IF(AR160="","",AR160)</f>
        <v>1</v>
      </c>
      <c r="T160" s="75">
        <f t="shared" si="189"/>
        <v>159</v>
      </c>
      <c r="U160" s="345">
        <f>IF(AT160="","",AT160)</f>
        <v>0</v>
      </c>
      <c r="V160" s="75">
        <f t="shared" si="190"/>
        <v>1626</v>
      </c>
      <c r="W160" s="345">
        <f>IF(AV160="","",AV160)</f>
        <v>5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0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4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6"/>
      <c r="F161" s="78" t="str">
        <f t="shared" si="183"/>
        <v/>
      </c>
      <c r="G161" s="346"/>
      <c r="H161" s="78" t="str">
        <f t="shared" si="184"/>
        <v/>
      </c>
      <c r="I161" s="346"/>
      <c r="J161" s="78" t="str">
        <f t="shared" si="185"/>
        <v/>
      </c>
      <c r="K161" s="346"/>
      <c r="L161" s="78" t="str">
        <f t="shared" si="186"/>
        <v/>
      </c>
      <c r="M161" s="346"/>
      <c r="N161" s="78" t="str">
        <f t="shared" si="205"/>
        <v/>
      </c>
      <c r="O161" s="346"/>
      <c r="P161" s="78" t="str">
        <f t="shared" si="187"/>
        <v/>
      </c>
      <c r="Q161" s="346"/>
      <c r="R161" s="78" t="str">
        <f t="shared" si="188"/>
        <v/>
      </c>
      <c r="S161" s="346"/>
      <c r="T161" s="78" t="str">
        <f t="shared" si="189"/>
        <v/>
      </c>
      <c r="U161" s="346"/>
      <c r="V161" s="78" t="str">
        <f t="shared" si="190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5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7"/>
      <c r="F162" s="69" t="str">
        <f t="shared" si="183"/>
        <v/>
      </c>
      <c r="G162" s="347"/>
      <c r="H162" s="69" t="str">
        <f t="shared" si="184"/>
        <v/>
      </c>
      <c r="I162" s="347"/>
      <c r="J162" s="69" t="str">
        <f t="shared" si="185"/>
        <v/>
      </c>
      <c r="K162" s="347"/>
      <c r="L162" s="69" t="str">
        <f t="shared" si="186"/>
        <v/>
      </c>
      <c r="M162" s="347"/>
      <c r="N162" s="69" t="str">
        <f t="shared" si="205"/>
        <v/>
      </c>
      <c r="O162" s="347"/>
      <c r="P162" s="69" t="str">
        <f t="shared" si="187"/>
        <v/>
      </c>
      <c r="Q162" s="347"/>
      <c r="R162" s="69" t="str">
        <f t="shared" si="188"/>
        <v/>
      </c>
      <c r="S162" s="347"/>
      <c r="T162" s="69" t="str">
        <f t="shared" si="189"/>
        <v/>
      </c>
      <c r="U162" s="347"/>
      <c r="V162" s="69" t="str">
        <f t="shared" si="190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3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5">
        <f>IF(AD163="","",AD163)</f>
        <v>1</v>
      </c>
      <c r="F163" s="75">
        <f t="shared" si="183"/>
        <v>170</v>
      </c>
      <c r="G163" s="345">
        <f>IF(AF163="","",AF163)</f>
        <v>0</v>
      </c>
      <c r="H163" s="75">
        <f t="shared" si="184"/>
        <v>196</v>
      </c>
      <c r="I163" s="345">
        <f>IF(AH163="","",AH163)</f>
        <v>1</v>
      </c>
      <c r="J163" s="75">
        <f t="shared" si="185"/>
        <v>206</v>
      </c>
      <c r="K163" s="345">
        <f>IF(AJ163="","",AJ163)</f>
        <v>1</v>
      </c>
      <c r="L163" s="75">
        <f t="shared" si="186"/>
        <v>201</v>
      </c>
      <c r="M163" s="345">
        <f>IF(AL163="","",AL163)</f>
        <v>1</v>
      </c>
      <c r="N163" s="75">
        <f t="shared" si="205"/>
        <v>173</v>
      </c>
      <c r="O163" s="345">
        <f>IF(AN163="","",AN163)</f>
        <v>0</v>
      </c>
      <c r="P163" s="75">
        <f t="shared" si="187"/>
        <v>202</v>
      </c>
      <c r="Q163" s="345">
        <f>IF(AP163="","",AP163)</f>
        <v>1</v>
      </c>
      <c r="R163" s="75">
        <f t="shared" si="188"/>
        <v>172</v>
      </c>
      <c r="S163" s="345">
        <f>IF(AR163="","",AR163)</f>
        <v>1</v>
      </c>
      <c r="T163" s="75">
        <f t="shared" si="189"/>
        <v>190</v>
      </c>
      <c r="U163" s="345">
        <f>IF(AT163="","",AT163)</f>
        <v>1</v>
      </c>
      <c r="V163" s="75">
        <f t="shared" si="190"/>
        <v>1655</v>
      </c>
      <c r="W163" s="345">
        <f>IF(AV163="","",AV163)</f>
        <v>7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4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6"/>
      <c r="F164" s="78" t="str">
        <f t="shared" si="183"/>
        <v/>
      </c>
      <c r="G164" s="346"/>
      <c r="H164" s="78" t="str">
        <f t="shared" si="184"/>
        <v/>
      </c>
      <c r="I164" s="346"/>
      <c r="J164" s="78" t="str">
        <f t="shared" si="185"/>
        <v/>
      </c>
      <c r="K164" s="346"/>
      <c r="L164" s="78" t="str">
        <f t="shared" si="186"/>
        <v/>
      </c>
      <c r="M164" s="346"/>
      <c r="N164" s="78" t="str">
        <f t="shared" si="205"/>
        <v/>
      </c>
      <c r="O164" s="346"/>
      <c r="P164" s="78" t="str">
        <f t="shared" si="187"/>
        <v/>
      </c>
      <c r="Q164" s="346"/>
      <c r="R164" s="78" t="str">
        <f t="shared" si="188"/>
        <v/>
      </c>
      <c r="S164" s="346"/>
      <c r="T164" s="78" t="str">
        <f t="shared" si="189"/>
        <v/>
      </c>
      <c r="U164" s="346"/>
      <c r="V164" s="78" t="str">
        <f t="shared" si="190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5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7"/>
      <c r="F165" s="69" t="str">
        <f t="shared" si="183"/>
        <v/>
      </c>
      <c r="G165" s="347"/>
      <c r="H165" s="69" t="str">
        <f t="shared" si="184"/>
        <v/>
      </c>
      <c r="I165" s="347"/>
      <c r="J165" s="69" t="str">
        <f t="shared" si="185"/>
        <v/>
      </c>
      <c r="K165" s="347"/>
      <c r="L165" s="69" t="str">
        <f t="shared" si="186"/>
        <v/>
      </c>
      <c r="M165" s="347"/>
      <c r="N165" s="69" t="str">
        <f t="shared" si="205"/>
        <v/>
      </c>
      <c r="O165" s="347"/>
      <c r="P165" s="69" t="str">
        <f t="shared" si="187"/>
        <v/>
      </c>
      <c r="Q165" s="347"/>
      <c r="R165" s="69" t="str">
        <f t="shared" si="188"/>
        <v/>
      </c>
      <c r="S165" s="347"/>
      <c r="T165" s="69" t="str">
        <f t="shared" si="189"/>
        <v/>
      </c>
      <c r="U165" s="347"/>
      <c r="V165" s="69" t="str">
        <f t="shared" si="190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3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5">
        <f>IF(AD166="","",AD166)</f>
        <v>1</v>
      </c>
      <c r="F166" s="75">
        <f t="shared" si="183"/>
        <v>177</v>
      </c>
      <c r="G166" s="345">
        <f>IF(AF166="","",AF166)</f>
        <v>0</v>
      </c>
      <c r="H166" s="75">
        <f t="shared" si="184"/>
        <v>185</v>
      </c>
      <c r="I166" s="345">
        <f>IF(AH166="","",AH166)</f>
        <v>1</v>
      </c>
      <c r="J166" s="75">
        <f t="shared" si="185"/>
        <v>236</v>
      </c>
      <c r="K166" s="345">
        <f>IF(AJ166="","",AJ166)</f>
        <v>1</v>
      </c>
      <c r="L166" s="75">
        <f t="shared" si="186"/>
        <v>260</v>
      </c>
      <c r="M166" s="345">
        <f>IF(AL166="","",AL166)</f>
        <v>1</v>
      </c>
      <c r="N166" s="75">
        <f t="shared" si="205"/>
        <v>264</v>
      </c>
      <c r="O166" s="345">
        <f>IF(AN166="","",AN166)</f>
        <v>1</v>
      </c>
      <c r="P166" s="75">
        <f t="shared" si="187"/>
        <v>178</v>
      </c>
      <c r="Q166" s="345">
        <f>IF(AP166="","",AP166)</f>
        <v>1</v>
      </c>
      <c r="R166" s="75">
        <f t="shared" si="188"/>
        <v>200</v>
      </c>
      <c r="S166" s="345">
        <f>IF(AR166="","",AR166)</f>
        <v>1</v>
      </c>
      <c r="T166" s="75">
        <f t="shared" si="189"/>
        <v>171</v>
      </c>
      <c r="U166" s="345">
        <f>IF(AT166="","",AT166)</f>
        <v>1</v>
      </c>
      <c r="V166" s="75">
        <f t="shared" si="190"/>
        <v>1881</v>
      </c>
      <c r="W166" s="345">
        <f>IF(AV166="","",AV166)</f>
        <v>8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4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6"/>
      <c r="F167" s="78" t="str">
        <f t="shared" si="183"/>
        <v/>
      </c>
      <c r="G167" s="346"/>
      <c r="H167" s="78" t="str">
        <f t="shared" si="184"/>
        <v/>
      </c>
      <c r="I167" s="346"/>
      <c r="J167" s="78" t="str">
        <f t="shared" si="185"/>
        <v/>
      </c>
      <c r="K167" s="346"/>
      <c r="L167" s="78" t="str">
        <f t="shared" si="186"/>
        <v/>
      </c>
      <c r="M167" s="346"/>
      <c r="N167" s="78" t="str">
        <f t="shared" si="205"/>
        <v/>
      </c>
      <c r="O167" s="346"/>
      <c r="P167" s="78" t="str">
        <f t="shared" si="187"/>
        <v/>
      </c>
      <c r="Q167" s="346"/>
      <c r="R167" s="78" t="str">
        <f t="shared" si="188"/>
        <v/>
      </c>
      <c r="S167" s="346"/>
      <c r="T167" s="78" t="str">
        <f t="shared" si="189"/>
        <v/>
      </c>
      <c r="U167" s="346"/>
      <c r="V167" s="78" t="str">
        <f t="shared" si="190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5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7"/>
      <c r="F168" s="69" t="str">
        <f t="shared" si="183"/>
        <v/>
      </c>
      <c r="G168" s="347"/>
      <c r="H168" s="69" t="str">
        <f t="shared" si="184"/>
        <v/>
      </c>
      <c r="I168" s="347"/>
      <c r="J168" s="69" t="str">
        <f t="shared" si="185"/>
        <v/>
      </c>
      <c r="K168" s="347"/>
      <c r="L168" s="69" t="str">
        <f t="shared" si="186"/>
        <v/>
      </c>
      <c r="M168" s="347"/>
      <c r="N168" s="69" t="str">
        <f t="shared" si="205"/>
        <v/>
      </c>
      <c r="O168" s="347"/>
      <c r="P168" s="69" t="str">
        <f t="shared" si="187"/>
        <v/>
      </c>
      <c r="Q168" s="347"/>
      <c r="R168" s="69" t="str">
        <f t="shared" si="188"/>
        <v/>
      </c>
      <c r="S168" s="347"/>
      <c r="T168" s="69" t="str">
        <f t="shared" si="189"/>
        <v/>
      </c>
      <c r="U168" s="347"/>
      <c r="V168" s="69" t="str">
        <f t="shared" si="190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4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39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4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39</v>
      </c>
      <c r="AW170" s="101"/>
      <c r="AX170" s="102"/>
      <c r="BA170" s="212">
        <f>+AV170</f>
        <v>39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39.006701999999997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3">
        <f t="shared" ref="D172:M174" si="218">IF(AC172=0,"",AC172)</f>
        <v>2</v>
      </c>
      <c r="E172" s="353" t="str">
        <f t="shared" si="218"/>
        <v/>
      </c>
      <c r="F172" s="353">
        <f t="shared" si="218"/>
        <v>7</v>
      </c>
      <c r="G172" s="353" t="str">
        <f t="shared" si="218"/>
        <v/>
      </c>
      <c r="H172" s="353">
        <f t="shared" si="218"/>
        <v>1</v>
      </c>
      <c r="I172" s="353" t="str">
        <f t="shared" si="218"/>
        <v/>
      </c>
      <c r="J172" s="353">
        <f t="shared" si="218"/>
        <v>8</v>
      </c>
      <c r="K172" s="353" t="str">
        <f t="shared" si="218"/>
        <v/>
      </c>
      <c r="L172" s="353">
        <f t="shared" si="218"/>
        <v>4</v>
      </c>
      <c r="M172" s="353" t="str">
        <f t="shared" si="218"/>
        <v/>
      </c>
      <c r="N172" s="353">
        <f t="shared" ref="N172:U174" si="219">IF(AM172=0,"",AM172)</f>
        <v>3</v>
      </c>
      <c r="O172" s="353" t="str">
        <f t="shared" si="219"/>
        <v/>
      </c>
      <c r="P172" s="353">
        <f t="shared" si="219"/>
        <v>5</v>
      </c>
      <c r="Q172" s="353" t="str">
        <f t="shared" si="219"/>
        <v/>
      </c>
      <c r="R172" s="353">
        <f t="shared" si="219"/>
        <v>9</v>
      </c>
      <c r="S172" s="353" t="str">
        <f t="shared" si="219"/>
        <v/>
      </c>
      <c r="T172" s="353">
        <f t="shared" si="219"/>
        <v>10</v>
      </c>
      <c r="U172" s="353" t="str">
        <f t="shared" si="219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VLOOKUP($AA152,Schlüssel!$A$5:$K$14,3)</f>
        <v>2</v>
      </c>
      <c r="AD172" s="368"/>
      <c r="AE172" s="367">
        <f>VLOOKUP($AA152,Schlüssel!$A$5:$K$14,4)</f>
        <v>7</v>
      </c>
      <c r="AF172" s="368"/>
      <c r="AG172" s="367">
        <f>VLOOKUP($AA152,Schlüssel!$A$5:$K$14,5)</f>
        <v>1</v>
      </c>
      <c r="AH172" s="368"/>
      <c r="AI172" s="367">
        <f>VLOOKUP($AA152,Schlüssel!$A$5:$K$14,6)</f>
        <v>8</v>
      </c>
      <c r="AJ172" s="368"/>
      <c r="AK172" s="367">
        <f>VLOOKUP($AA152,Schlüssel!$A$5:$K$14,7)</f>
        <v>4</v>
      </c>
      <c r="AL172" s="368"/>
      <c r="AM172" s="367">
        <f>VLOOKUP($AA152,Schlüssel!$A$5:$K$14,8)</f>
        <v>3</v>
      </c>
      <c r="AN172" s="368"/>
      <c r="AO172" s="367">
        <f>VLOOKUP($AA152,Schlüssel!$A$5:$K$14,9)</f>
        <v>5</v>
      </c>
      <c r="AP172" s="368"/>
      <c r="AQ172" s="367">
        <f>VLOOKUP($AA152,Schlüssel!$A$5:$K$14,10)</f>
        <v>9</v>
      </c>
      <c r="AR172" s="368"/>
      <c r="AS172" s="367">
        <f>VLOOKUP($AA152,Schlüssel!$A$5:$K$14,11)</f>
        <v>10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5" t="str">
        <f t="shared" si="218"/>
        <v>BK München 2</v>
      </c>
      <c r="E173" s="356" t="str">
        <f t="shared" si="218"/>
        <v/>
      </c>
      <c r="F173" s="355" t="str">
        <f t="shared" si="218"/>
        <v>Frankenpower Nürnberg</v>
      </c>
      <c r="G173" s="356" t="str">
        <f t="shared" si="218"/>
        <v/>
      </c>
      <c r="H173" s="355" t="str">
        <f t="shared" si="218"/>
        <v>Praetoria Regensburg</v>
      </c>
      <c r="I173" s="356" t="str">
        <f t="shared" si="218"/>
        <v/>
      </c>
      <c r="J173" s="355" t="str">
        <f t="shared" si="218"/>
        <v>EPA München 1</v>
      </c>
      <c r="K173" s="356" t="str">
        <f t="shared" si="218"/>
        <v/>
      </c>
      <c r="L173" s="355" t="str">
        <f t="shared" si="218"/>
        <v>BK München 3</v>
      </c>
      <c r="M173" s="356" t="str">
        <f t="shared" si="218"/>
        <v/>
      </c>
      <c r="N173" s="355" t="str">
        <f t="shared" si="219"/>
        <v>Highroller Rosenheim</v>
      </c>
      <c r="O173" s="356" t="str">
        <f t="shared" si="219"/>
        <v/>
      </c>
      <c r="P173" s="355" t="str">
        <f t="shared" si="219"/>
        <v xml:space="preserve">Weiß Blau Unterföhring </v>
      </c>
      <c r="Q173" s="356" t="str">
        <f t="shared" si="219"/>
        <v/>
      </c>
      <c r="R173" s="355" t="str">
        <f t="shared" si="219"/>
        <v>RW Lichtenhof 69 Stein 2</v>
      </c>
      <c r="S173" s="356" t="str">
        <f t="shared" si="219"/>
        <v/>
      </c>
      <c r="T173" s="355" t="str">
        <f t="shared" si="219"/>
        <v>BK München 4</v>
      </c>
      <c r="U173" s="356" t="str">
        <f t="shared" si="219"/>
        <v/>
      </c>
      <c r="V173" s="360"/>
      <c r="W173" s="360"/>
      <c r="AA173" s="90"/>
      <c r="AB173" s="86"/>
      <c r="AC173" s="355" t="str">
        <f>VLOOKUP(AC172,Schlüssel!$A$5:$K$14,2)</f>
        <v>BK München 2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>Praetoria Regensburg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RW Lichtenhof 69 Stein 2</v>
      </c>
      <c r="AR173" s="356"/>
      <c r="AS173" s="355" t="str">
        <f>VLOOKUP(AS172,Schlüssel!$A$5:$K$14,2)</f>
        <v>BK München 4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7" t="str">
        <f t="shared" si="218"/>
        <v/>
      </c>
      <c r="E174" s="357" t="str">
        <f t="shared" si="218"/>
        <v/>
      </c>
      <c r="F174" s="357" t="str">
        <f t="shared" si="218"/>
        <v/>
      </c>
      <c r="G174" s="357" t="str">
        <f t="shared" si="218"/>
        <v/>
      </c>
      <c r="H174" s="357" t="str">
        <f t="shared" si="218"/>
        <v/>
      </c>
      <c r="I174" s="357" t="str">
        <f t="shared" si="218"/>
        <v/>
      </c>
      <c r="J174" s="357" t="str">
        <f t="shared" si="218"/>
        <v/>
      </c>
      <c r="K174" s="357" t="str">
        <f t="shared" si="218"/>
        <v/>
      </c>
      <c r="L174" s="357" t="str">
        <f t="shared" si="218"/>
        <v/>
      </c>
      <c r="M174" s="357" t="str">
        <f t="shared" si="218"/>
        <v/>
      </c>
      <c r="N174" s="357" t="str">
        <f t="shared" si="219"/>
        <v/>
      </c>
      <c r="O174" s="357" t="str">
        <f t="shared" si="219"/>
        <v/>
      </c>
      <c r="P174" s="357" t="str">
        <f t="shared" si="219"/>
        <v/>
      </c>
      <c r="Q174" s="357" t="str">
        <f t="shared" si="219"/>
        <v/>
      </c>
      <c r="R174" s="357" t="str">
        <f t="shared" si="219"/>
        <v/>
      </c>
      <c r="S174" s="357" t="str">
        <f t="shared" si="219"/>
        <v/>
      </c>
      <c r="T174" s="357" t="str">
        <f t="shared" si="219"/>
        <v/>
      </c>
      <c r="U174" s="358" t="str">
        <f t="shared" si="219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si="216"/>
        <v>Spieler 1</v>
      </c>
      <c r="C175" s="372" t="str">
        <f t="shared" si="217"/>
        <v/>
      </c>
      <c r="D175" s="359">
        <f>IF(AC175=301,"",AC175)</f>
        <v>199</v>
      </c>
      <c r="E175" s="359" t="str">
        <f>IF(AD175=0,"",AD175)</f>
        <v/>
      </c>
      <c r="F175" s="359">
        <f>IF(AE175=301,"",AE175)</f>
        <v>164</v>
      </c>
      <c r="G175" s="359" t="str">
        <f>IF(AF175=0,"",AF175)</f>
        <v/>
      </c>
      <c r="H175" s="359">
        <f>IF(AG175=301,"",AG175)</f>
        <v>180</v>
      </c>
      <c r="I175" s="359" t="str">
        <f>IF(AH175=0,"",AH175)</f>
        <v/>
      </c>
      <c r="J175" s="359">
        <f>IF(AI175=301,"",AI175)</f>
        <v>181</v>
      </c>
      <c r="K175" s="359" t="str">
        <f>IF(AJ175=0,"",AJ175)</f>
        <v/>
      </c>
      <c r="L175" s="359">
        <f>IF(AK175=301,"",AK175)</f>
        <v>188</v>
      </c>
      <c r="M175" s="359" t="str">
        <f>IF(AL175=0,"",AL175)</f>
        <v/>
      </c>
      <c r="N175" s="359">
        <f>IF(AM175=301,"",AM175)</f>
        <v>172</v>
      </c>
      <c r="O175" s="359" t="str">
        <f>IF(AN175=0,"",AN175)</f>
        <v/>
      </c>
      <c r="P175" s="359">
        <f>IF(AO175=301,"",AO175)</f>
        <v>157</v>
      </c>
      <c r="Q175" s="359" t="str">
        <f>IF(AP175=0,"",AP175)</f>
        <v/>
      </c>
      <c r="R175" s="359">
        <f>IF(AQ175=301,"",AQ175)</f>
        <v>160</v>
      </c>
      <c r="S175" s="359" t="str">
        <f>IF(AR175=0,"",AR175)</f>
        <v/>
      </c>
      <c r="T175" s="359">
        <f>IF(AS175=301,"",AS175)</f>
        <v>192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199</v>
      </c>
      <c r="AD175" s="366"/>
      <c r="AE175" s="365">
        <f>ABS(INDEX(AE:AE,MATCH(AE172,$AA:$AA,0)+5)+INDEX(AE:AE,MATCH(AE172,$AA:$AA,0)+6)+INDEX(AE:AE,MATCH(AE172,$AA:$AA,0)+7))</f>
        <v>164</v>
      </c>
      <c r="AF175" s="366"/>
      <c r="AG175" s="365">
        <f>ABS(INDEX(AG:AG,MATCH(AG172,$AA:$AA,0)+5)+INDEX(AG:AG,MATCH(AG172,$AA:$AA,0)+6)+INDEX(AG:AG,MATCH(AG172,$AA:$AA,0)+7))</f>
        <v>180</v>
      </c>
      <c r="AH175" s="366"/>
      <c r="AI175" s="365">
        <f>ABS(INDEX(AI:AI,MATCH(AI172,$AA:$AA,0)+5)+INDEX(AI:AI,MATCH(AI172,$AA:$AA,0)+6)+INDEX(AI:AI,MATCH(AI172,$AA:$AA,0)+7))</f>
        <v>181</v>
      </c>
      <c r="AJ175" s="366"/>
      <c r="AK175" s="365">
        <f>ABS(INDEX(AK:AK,MATCH(AK172,$AA:$AA,0)+5)+INDEX(AK:AK,MATCH(AK172,$AA:$AA,0)+6)+INDEX(AK:AK,MATCH(AK172,$AA:$AA,0)+7))</f>
        <v>188</v>
      </c>
      <c r="AL175" s="366"/>
      <c r="AM175" s="365">
        <f>ABS(INDEX(AM:AM,MATCH(AM172,$AA:$AA,0)+5)+INDEX(AM:AM,MATCH(AM172,$AA:$AA,0)+6)+INDEX(AM:AM,MATCH(AM172,$AA:$AA,0)+7))</f>
        <v>172</v>
      </c>
      <c r="AN175" s="366"/>
      <c r="AO175" s="365">
        <f>ABS(INDEX(AO:AO,MATCH(AO172,$AA:$AA,0)+5)+INDEX(AO:AO,MATCH(AO172,$AA:$AA,0)+6)+INDEX(AO:AO,MATCH(AO172,$AA:$AA,0)+7))</f>
        <v>157</v>
      </c>
      <c r="AP175" s="366"/>
      <c r="AQ175" s="365">
        <f>ABS(INDEX(AQ:AQ,MATCH(AQ172,$AA:$AA,0)+5)+INDEX(AQ:AQ,MATCH(AQ172,$AA:$AA,0)+6)+INDEX(AQ:AQ,MATCH(AQ172,$AA:$AA,0)+7))</f>
        <v>160</v>
      </c>
      <c r="AR175" s="366"/>
      <c r="AS175" s="365">
        <f>ABS(INDEX(AS:AS,MATCH(AS172,$AA:$AA,0)+5)+INDEX(AS:AS,MATCH(AS172,$AA:$AA,0)+6)+INDEX(AS:AS,MATCH(AS172,$AA:$AA,0)+7))</f>
        <v>192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16"/>
        <v>Spieler 2</v>
      </c>
      <c r="C176" s="372" t="str">
        <f t="shared" si="217"/>
        <v/>
      </c>
      <c r="D176" s="359">
        <f>IF(AC176=301,"",AC176)</f>
        <v>146</v>
      </c>
      <c r="E176" s="359" t="str">
        <f>IF(AD176=0,"",AD176)</f>
        <v/>
      </c>
      <c r="F176" s="359">
        <f>IF(AE176=301,"",AE176)</f>
        <v>113</v>
      </c>
      <c r="G176" s="359" t="str">
        <f>IF(AF176=0,"",AF176)</f>
        <v/>
      </c>
      <c r="H176" s="359">
        <f>IF(AG176=301,"",AG176)</f>
        <v>166</v>
      </c>
      <c r="I176" s="359" t="str">
        <f>IF(AH176=0,"",AH176)</f>
        <v/>
      </c>
      <c r="J176" s="359">
        <f>IF(AI176=301,"",AI176)</f>
        <v>197</v>
      </c>
      <c r="K176" s="359" t="str">
        <f>IF(AJ176=0,"",AJ176)</f>
        <v/>
      </c>
      <c r="L176" s="359">
        <f>IF(AK176=301,"",AK176)</f>
        <v>212</v>
      </c>
      <c r="M176" s="359" t="str">
        <f>IF(AL176=0,"",AL176)</f>
        <v/>
      </c>
      <c r="N176" s="359">
        <f>IF(AM176=301,"",AM176)</f>
        <v>179</v>
      </c>
      <c r="O176" s="359" t="str">
        <f>IF(AN176=0,"",AN176)</f>
        <v/>
      </c>
      <c r="P176" s="359">
        <f>IF(AO176=301,"",AO176)</f>
        <v>146</v>
      </c>
      <c r="Q176" s="359" t="str">
        <f>IF(AP176=0,"",AP176)</f>
        <v/>
      </c>
      <c r="R176" s="359">
        <f>IF(AQ176=301,"",AQ176)</f>
        <v>148</v>
      </c>
      <c r="S176" s="359" t="str">
        <f>IF(AR176=0,"",AR176)</f>
        <v/>
      </c>
      <c r="T176" s="359">
        <f>IF(AS176=301,"",AS176)</f>
        <v>191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146</v>
      </c>
      <c r="AD176" s="364"/>
      <c r="AE176" s="363">
        <f>ABS(INDEX(AE:AE,MATCH(AE172,$AA:$AA,0)+8)+INDEX(AE:AE,MATCH(AE172,$AA:$AA,0)+9)+INDEX(AE:AE,MATCH(AE172,$AA:$AA,0)+10))</f>
        <v>113</v>
      </c>
      <c r="AF176" s="364"/>
      <c r="AG176" s="363">
        <f>ABS(INDEX(AG:AG,MATCH(AG172,$AA:$AA,0)+8)+INDEX(AG:AG,MATCH(AG172,$AA:$AA,0)+9)+INDEX(AG:AG,MATCH(AG172,$AA:$AA,0)+10))</f>
        <v>166</v>
      </c>
      <c r="AH176" s="364"/>
      <c r="AI176" s="363">
        <f>ABS(INDEX(AI:AI,MATCH(AI172,$AA:$AA,0)+8)+INDEX(AI:AI,MATCH(AI172,$AA:$AA,0)+9)+INDEX(AI:AI,MATCH(AI172,$AA:$AA,0)+10))</f>
        <v>197</v>
      </c>
      <c r="AJ176" s="364"/>
      <c r="AK176" s="363">
        <f>ABS(INDEX(AK:AK,MATCH(AK172,$AA:$AA,0)+8)+INDEX(AK:AK,MATCH(AK172,$AA:$AA,0)+9)+INDEX(AK:AK,MATCH(AK172,$AA:$AA,0)+10))</f>
        <v>212</v>
      </c>
      <c r="AL176" s="364"/>
      <c r="AM176" s="363">
        <f>ABS(INDEX(AM:AM,MATCH(AM172,$AA:$AA,0)+8)+INDEX(AM:AM,MATCH(AM172,$AA:$AA,0)+9)+INDEX(AM:AM,MATCH(AM172,$AA:$AA,0)+10))</f>
        <v>179</v>
      </c>
      <c r="AN176" s="364"/>
      <c r="AO176" s="363">
        <f>ABS(INDEX(AO:AO,MATCH(AO172,$AA:$AA,0)+8)+INDEX(AO:AO,MATCH(AO172,$AA:$AA,0)+9)+INDEX(AO:AO,MATCH(AO172,$AA:$AA,0)+10))</f>
        <v>146</v>
      </c>
      <c r="AP176" s="364"/>
      <c r="AQ176" s="363">
        <f>ABS(INDEX(AQ:AQ,MATCH(AQ172,$AA:$AA,0)+8)+INDEX(AQ:AQ,MATCH(AQ172,$AA:$AA,0)+9)+INDEX(AQ:AQ,MATCH(AQ172,$AA:$AA,0)+10))</f>
        <v>148</v>
      </c>
      <c r="AR176" s="364"/>
      <c r="AS176" s="363">
        <f>ABS(INDEX(AS:AS,MATCH(AS172,$AA:$AA,0)+8)+INDEX(AS:AS,MATCH(AS172,$AA:$AA,0)+9)+INDEX(AS:AS,MATCH(AS172,$AA:$AA,0)+10))</f>
        <v>191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16"/>
        <v>Spieler 3</v>
      </c>
      <c r="C177" s="372" t="str">
        <f t="shared" si="217"/>
        <v/>
      </c>
      <c r="D177" s="359">
        <f>IF(AC177=301,"",AC177)</f>
        <v>143</v>
      </c>
      <c r="E177" s="359" t="str">
        <f>IF(AD177=0,"",AD177)</f>
        <v/>
      </c>
      <c r="F177" s="359">
        <f>IF(AE177=301,"",AE177)</f>
        <v>214</v>
      </c>
      <c r="G177" s="359" t="str">
        <f>IF(AF177=0,"",AF177)</f>
        <v/>
      </c>
      <c r="H177" s="359">
        <f>IF(AG177=301,"",AG177)</f>
        <v>171</v>
      </c>
      <c r="I177" s="359" t="str">
        <f>IF(AH177=0,"",AH177)</f>
        <v/>
      </c>
      <c r="J177" s="359">
        <f>IF(AI177=301,"",AI177)</f>
        <v>193</v>
      </c>
      <c r="K177" s="359" t="str">
        <f>IF(AJ177=0,"",AJ177)</f>
        <v/>
      </c>
      <c r="L177" s="359">
        <f>IF(AK177=301,"",AK177)</f>
        <v>162</v>
      </c>
      <c r="M177" s="359" t="str">
        <f>IF(AL177=0,"",AL177)</f>
        <v/>
      </c>
      <c r="N177" s="359">
        <f>IF(AM177=301,"",AM177)</f>
        <v>212</v>
      </c>
      <c r="O177" s="359" t="str">
        <f>IF(AN177=0,"",AN177)</f>
        <v/>
      </c>
      <c r="P177" s="359">
        <f>IF(AO177=301,"",AO177)</f>
        <v>174</v>
      </c>
      <c r="Q177" s="359" t="str">
        <f>IF(AP177=0,"",AP177)</f>
        <v/>
      </c>
      <c r="R177" s="359">
        <f>IF(AQ177=301,"",AQ177)</f>
        <v>157</v>
      </c>
      <c r="S177" s="359" t="str">
        <f>IF(AR177=0,"",AR177)</f>
        <v/>
      </c>
      <c r="T177" s="359">
        <f>IF(AS177=301,"",AS177)</f>
        <v>155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143</v>
      </c>
      <c r="AD177" s="364"/>
      <c r="AE177" s="363">
        <f>ABS(INDEX(AE:AE,MATCH(AE172,$AA:$AA,0)+11)+INDEX(AE:AE,MATCH(AE172,$AA:$AA,0)+12)+INDEX(AE:AE,MATCH(AE172,$AA:$AA,0)+13))</f>
        <v>214</v>
      </c>
      <c r="AF177" s="364"/>
      <c r="AG177" s="363">
        <f>ABS(INDEX(AG:AG,MATCH(AG172,$AA:$AA,0)+11)+INDEX(AG:AG,MATCH(AG172,$AA:$AA,0)+12)+INDEX(AG:AG,MATCH(AG172,$AA:$AA,0)+13))</f>
        <v>171</v>
      </c>
      <c r="AH177" s="364"/>
      <c r="AI177" s="363">
        <f>ABS(INDEX(AI:AI,MATCH(AI172,$AA:$AA,0)+11)+INDEX(AI:AI,MATCH(AI172,$AA:$AA,0)+12)+INDEX(AI:AI,MATCH(AI172,$AA:$AA,0)+13))</f>
        <v>193</v>
      </c>
      <c r="AJ177" s="364"/>
      <c r="AK177" s="363">
        <f>ABS(INDEX(AK:AK,MATCH(AK172,$AA:$AA,0)+11)+INDEX(AK:AK,MATCH(AK172,$AA:$AA,0)+12)+INDEX(AK:AK,MATCH(AK172,$AA:$AA,0)+13))</f>
        <v>162</v>
      </c>
      <c r="AL177" s="364"/>
      <c r="AM177" s="363">
        <f>ABS(INDEX(AM:AM,MATCH(AM172,$AA:$AA,0)+11)+INDEX(AM:AM,MATCH(AM172,$AA:$AA,0)+12)+INDEX(AM:AM,MATCH(AM172,$AA:$AA,0)+13))</f>
        <v>212</v>
      </c>
      <c r="AN177" s="364"/>
      <c r="AO177" s="363">
        <f>ABS(INDEX(AO:AO,MATCH(AO172,$AA:$AA,0)+11)+INDEX(AO:AO,MATCH(AO172,$AA:$AA,0)+12)+INDEX(AO:AO,MATCH(AO172,$AA:$AA,0)+13))</f>
        <v>174</v>
      </c>
      <c r="AP177" s="364"/>
      <c r="AQ177" s="363">
        <f>ABS(INDEX(AQ:AQ,MATCH(AQ172,$AA:$AA,0)+11)+INDEX(AQ:AQ,MATCH(AQ172,$AA:$AA,0)+12)+INDEX(AQ:AQ,MATCH(AQ172,$AA:$AA,0)+13))</f>
        <v>157</v>
      </c>
      <c r="AR177" s="364"/>
      <c r="AS177" s="363">
        <f>ABS(INDEX(AS:AS,MATCH(AS172,$AA:$AA,0)+11)+INDEX(AS:AS,MATCH(AS172,$AA:$AA,0)+12)+INDEX(AS:AS,MATCH(AS172,$AA:$AA,0)+13))</f>
        <v>155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16"/>
        <v>Spieler 4</v>
      </c>
      <c r="C178" s="372" t="str">
        <f t="shared" si="217"/>
        <v/>
      </c>
      <c r="D178" s="359">
        <f>IF(AC178=301,"",AC178)</f>
        <v>171</v>
      </c>
      <c r="E178" s="359" t="str">
        <f>IF(AD178=0,"",AD178)</f>
        <v/>
      </c>
      <c r="F178" s="359">
        <f>IF(AE178=301,"",AE178)</f>
        <v>214</v>
      </c>
      <c r="G178" s="359" t="str">
        <f>IF(AF178=0,"",AF178)</f>
        <v/>
      </c>
      <c r="H178" s="359">
        <f>IF(AG178=301,"",AG178)</f>
        <v>163</v>
      </c>
      <c r="I178" s="359" t="str">
        <f>IF(AH178=0,"",AH178)</f>
        <v/>
      </c>
      <c r="J178" s="359">
        <f>IF(AI178=301,"",AI178)</f>
        <v>184</v>
      </c>
      <c r="K178" s="359" t="str">
        <f>IF(AJ178=0,"",AJ178)</f>
        <v/>
      </c>
      <c r="L178" s="359">
        <f>IF(AK178=301,"",AK178)</f>
        <v>184</v>
      </c>
      <c r="M178" s="359" t="str">
        <f>IF(AL178=0,"",AL178)</f>
        <v/>
      </c>
      <c r="N178" s="359">
        <f>IF(AM178=301,"",AM178)</f>
        <v>196</v>
      </c>
      <c r="O178" s="359" t="str">
        <f>IF(AN178=0,"",AN178)</f>
        <v/>
      </c>
      <c r="P178" s="359">
        <f>IF(AO178=301,"",AO178)</f>
        <v>158</v>
      </c>
      <c r="Q178" s="359" t="str">
        <f>IF(AP178=0,"",AP178)</f>
        <v/>
      </c>
      <c r="R178" s="359">
        <f>IF(AQ178=301,"",AQ178)</f>
        <v>132</v>
      </c>
      <c r="S178" s="359" t="str">
        <f>IF(AR178=0,"",AR178)</f>
        <v/>
      </c>
      <c r="T178" s="359">
        <f>IF(AS178=301,"",AS178)</f>
        <v>168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171</v>
      </c>
      <c r="AD178" s="364"/>
      <c r="AE178" s="363">
        <f>ABS(INDEX(AE:AE,MATCH(AE172,$AA:$AA,0)+14)+INDEX(AE:AE,MATCH(AE172,$AA:$AA,0)+15)+INDEX(AE:AE,MATCH(AE172,$AA:$AA,0)+16))</f>
        <v>214</v>
      </c>
      <c r="AF178" s="364"/>
      <c r="AG178" s="363">
        <f>ABS(INDEX(AG:AG,MATCH(AG172,$AA:$AA,0)+14)+INDEX(AG:AG,MATCH(AG172,$AA:$AA,0)+15)+INDEX(AG:AG,MATCH(AG172,$AA:$AA,0)+16))</f>
        <v>163</v>
      </c>
      <c r="AH178" s="364"/>
      <c r="AI178" s="363">
        <f>ABS(INDEX(AI:AI,MATCH(AI172,$AA:$AA,0)+14)+INDEX(AI:AI,MATCH(AI172,$AA:$AA,0)+15)+INDEX(AI:AI,MATCH(AI172,$AA:$AA,0)+16))</f>
        <v>184</v>
      </c>
      <c r="AJ178" s="364"/>
      <c r="AK178" s="363">
        <f>ABS(INDEX(AK:AK,MATCH(AK172,$AA:$AA,0)+14)+INDEX(AK:AK,MATCH(AK172,$AA:$AA,0)+15)+INDEX(AK:AK,MATCH(AK172,$AA:$AA,0)+16))</f>
        <v>184</v>
      </c>
      <c r="AL178" s="364"/>
      <c r="AM178" s="363">
        <f>ABS(INDEX(AM:AM,MATCH(AM172,$AA:$AA,0)+14)+INDEX(AM:AM,MATCH(AM172,$AA:$AA,0)+15)+INDEX(AM:AM,MATCH(AM172,$AA:$AA,0)+16))</f>
        <v>196</v>
      </c>
      <c r="AN178" s="364"/>
      <c r="AO178" s="363">
        <f>ABS(INDEX(AO:AO,MATCH(AO172,$AA:$AA,0)+14)+INDEX(AO:AO,MATCH(AO172,$AA:$AA,0)+15)+INDEX(AO:AO,MATCH(AO172,$AA:$AA,0)+16))</f>
        <v>158</v>
      </c>
      <c r="AP178" s="364"/>
      <c r="AQ178" s="363">
        <f>ABS(INDEX(AQ:AQ,MATCH(AQ172,$AA:$AA,0)+14)+INDEX(AQ:AQ,MATCH(AQ172,$AA:$AA,0)+15)+INDEX(AQ:AQ,MATCH(AQ172,$AA:$AA,0)+16))</f>
        <v>132</v>
      </c>
      <c r="AR178" s="364"/>
      <c r="AS178" s="363">
        <f>ABS(INDEX(AS:AS,MATCH(AS172,$AA:$AA,0)+14)+INDEX(AS:AS,MATCH(AS172,$AA:$AA,0)+15)+INDEX(AS:AS,MATCH(AS172,$AA:$AA,0)+16))</f>
        <v>168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16"/>
        <v>Gesamt</v>
      </c>
      <c r="C179" s="344" t="str">
        <f t="shared" si="217"/>
        <v/>
      </c>
      <c r="D179" s="362">
        <f>IF(AC179=1505,"",AC179)</f>
        <v>659</v>
      </c>
      <c r="E179" s="362" t="str">
        <f>IF(AD179=0,"",AD179)</f>
        <v/>
      </c>
      <c r="F179" s="362">
        <f>IF(AE179=1505,"",AE179)</f>
        <v>705</v>
      </c>
      <c r="G179" s="362" t="str">
        <f>IF(AF179=0,"",AF179)</f>
        <v/>
      </c>
      <c r="H179" s="362">
        <f>IF(AG179=1505,"",AG179)</f>
        <v>680</v>
      </c>
      <c r="I179" s="362" t="str">
        <f>IF(AH179=0,"",AH179)</f>
        <v/>
      </c>
      <c r="J179" s="362">
        <f>IF(AI179=1505,"",AI179)</f>
        <v>755</v>
      </c>
      <c r="K179" s="362" t="str">
        <f>IF(AJ179=0,"",AJ179)</f>
        <v/>
      </c>
      <c r="L179" s="362">
        <f>IF(AK179=1505,"",AK179)</f>
        <v>746</v>
      </c>
      <c r="M179" s="362" t="str">
        <f>IF(AL179=0,"",AL179)</f>
        <v/>
      </c>
      <c r="N179" s="362">
        <f>IF(AM179=1505,"",AM179)</f>
        <v>759</v>
      </c>
      <c r="O179" s="362" t="str">
        <f>IF(AN179=0,"",AN179)</f>
        <v/>
      </c>
      <c r="P179" s="362">
        <f>IF(AO179=1505,"",AO179)</f>
        <v>635</v>
      </c>
      <c r="Q179" s="362" t="str">
        <f>IF(AP179=0,"",AP179)</f>
        <v/>
      </c>
      <c r="R179" s="362">
        <f>IF(AQ179=1505,"",AQ179)</f>
        <v>597</v>
      </c>
      <c r="S179" s="362" t="str">
        <f>IF(AR179=0,"",AR179)</f>
        <v/>
      </c>
      <c r="T179" s="362">
        <f>IF(AS179=1505,"",AS179)</f>
        <v>706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659</v>
      </c>
      <c r="AD179" s="344"/>
      <c r="AE179" s="343">
        <f>SUM(AE175:AE178)</f>
        <v>705</v>
      </c>
      <c r="AF179" s="344"/>
      <c r="AG179" s="343">
        <f>SUM(AG175:AG178)</f>
        <v>680</v>
      </c>
      <c r="AH179" s="344"/>
      <c r="AI179" s="343">
        <f>SUM(AI175:AI178)</f>
        <v>755</v>
      </c>
      <c r="AJ179" s="344"/>
      <c r="AK179" s="343">
        <f>SUM(AK175:AK178)</f>
        <v>746</v>
      </c>
      <c r="AL179" s="344"/>
      <c r="AM179" s="343">
        <f>SUM(AM175:AM178)</f>
        <v>759</v>
      </c>
      <c r="AN179" s="344"/>
      <c r="AO179" s="343">
        <f>SUM(AO175:AO178)</f>
        <v>635</v>
      </c>
      <c r="AP179" s="344"/>
      <c r="AQ179" s="343">
        <f>SUM(AQ175:AQ178)</f>
        <v>597</v>
      </c>
      <c r="AR179" s="344"/>
      <c r="AS179" s="343">
        <f>SUM(AS175:AS178)</f>
        <v>706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12.10./13.10.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12.10./13.10.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5">
        <f>IF(AD187="","",AD187)</f>
        <v>1</v>
      </c>
      <c r="F187" s="75">
        <f t="shared" ref="F187:F200" si="220">IF(AE187=0,"",AE187)</f>
        <v>164</v>
      </c>
      <c r="G187" s="345">
        <f>IF(AF187="","",AF187)</f>
        <v>0</v>
      </c>
      <c r="H187" s="75">
        <f t="shared" ref="H187:H200" si="221">IF(AG187=0,"",AG187)</f>
        <v>124</v>
      </c>
      <c r="I187" s="345">
        <f>IF(AH187="","",AH187)</f>
        <v>0</v>
      </c>
      <c r="J187" s="75">
        <f t="shared" ref="J187:J200" si="222">IF(AI187=0,"",AI187)</f>
        <v>165</v>
      </c>
      <c r="K187" s="345">
        <f>IF(AJ187="","",AJ187)</f>
        <v>0</v>
      </c>
      <c r="L187" s="75">
        <f t="shared" ref="L187:L200" si="223">IF(AK187=0,"",AK187)</f>
        <v>157</v>
      </c>
      <c r="M187" s="345">
        <f>IF(AL187="","",AL187)</f>
        <v>0</v>
      </c>
      <c r="N187" s="75">
        <f>IF(AM187=0,"",AM187)</f>
        <v>163</v>
      </c>
      <c r="O187" s="345">
        <f>IF(AN187="","",AN187)</f>
        <v>1</v>
      </c>
      <c r="P187" s="75">
        <f t="shared" ref="P187:P200" si="224">IF(AO187=0,"",AO187)</f>
        <v>181</v>
      </c>
      <c r="Q187" s="345">
        <f>IF(AP187="","",AP187)</f>
        <v>0</v>
      </c>
      <c r="R187" s="75">
        <f t="shared" ref="R187:R200" si="225">IF(AQ187=0,"",AQ187)</f>
        <v>139</v>
      </c>
      <c r="S187" s="345">
        <f>IF(AR187="","",AR187)</f>
        <v>0</v>
      </c>
      <c r="T187" s="75">
        <f t="shared" ref="T187:T200" si="226">IF(AS187=0,"",AS187)</f>
        <v>160</v>
      </c>
      <c r="U187" s="345">
        <f>IF(AT187="","",AT187)</f>
        <v>0</v>
      </c>
      <c r="V187" s="75">
        <f t="shared" ref="V187:V200" si="227">IF(AU187=0,"",AU187)</f>
        <v>1441</v>
      </c>
      <c r="W187" s="345">
        <f>IF(AV187="","",AV187)</f>
        <v>2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4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6"/>
      <c r="F188" s="78" t="str">
        <f t="shared" si="220"/>
        <v/>
      </c>
      <c r="G188" s="346"/>
      <c r="H188" s="78" t="str">
        <f t="shared" si="221"/>
        <v/>
      </c>
      <c r="I188" s="346"/>
      <c r="J188" s="78" t="str">
        <f t="shared" si="222"/>
        <v/>
      </c>
      <c r="K188" s="346"/>
      <c r="L188" s="78" t="str">
        <f t="shared" si="223"/>
        <v/>
      </c>
      <c r="M188" s="346"/>
      <c r="N188" s="78" t="str">
        <f t="shared" ref="N188:N200" si="242">IF(AM188=0,"",AM188)</f>
        <v/>
      </c>
      <c r="O188" s="346"/>
      <c r="P188" s="78" t="str">
        <f t="shared" si="224"/>
        <v/>
      </c>
      <c r="Q188" s="346"/>
      <c r="R188" s="78" t="str">
        <f t="shared" si="225"/>
        <v/>
      </c>
      <c r="S188" s="346"/>
      <c r="T188" s="78" t="str">
        <f t="shared" si="226"/>
        <v/>
      </c>
      <c r="U188" s="346"/>
      <c r="V188" s="78" t="str">
        <f t="shared" si="227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5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7"/>
      <c r="F189" s="69" t="str">
        <f t="shared" si="220"/>
        <v/>
      </c>
      <c r="G189" s="347"/>
      <c r="H189" s="69" t="str">
        <f t="shared" si="221"/>
        <v/>
      </c>
      <c r="I189" s="347"/>
      <c r="J189" s="69" t="str">
        <f t="shared" si="222"/>
        <v/>
      </c>
      <c r="K189" s="347"/>
      <c r="L189" s="69" t="str">
        <f t="shared" si="223"/>
        <v/>
      </c>
      <c r="M189" s="347"/>
      <c r="N189" s="69" t="str">
        <f t="shared" si="242"/>
        <v/>
      </c>
      <c r="O189" s="347"/>
      <c r="P189" s="69" t="str">
        <f t="shared" si="224"/>
        <v/>
      </c>
      <c r="Q189" s="347"/>
      <c r="R189" s="69" t="str">
        <f t="shared" si="225"/>
        <v/>
      </c>
      <c r="S189" s="347"/>
      <c r="T189" s="69" t="str">
        <f t="shared" si="226"/>
        <v/>
      </c>
      <c r="U189" s="347"/>
      <c r="V189" s="69" t="str">
        <f t="shared" si="227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3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5">
        <f>IF(AD190="","",AD190)</f>
        <v>0</v>
      </c>
      <c r="F190" s="75">
        <f t="shared" si="220"/>
        <v>113</v>
      </c>
      <c r="G190" s="345">
        <f>IF(AF190="","",AF190)</f>
        <v>0</v>
      </c>
      <c r="H190" s="75">
        <f t="shared" si="221"/>
        <v>167</v>
      </c>
      <c r="I190" s="345">
        <f>IF(AH190="","",AH190)</f>
        <v>1</v>
      </c>
      <c r="J190" s="75">
        <f t="shared" si="222"/>
        <v>132</v>
      </c>
      <c r="K190" s="345">
        <f>IF(AJ190="","",AJ190)</f>
        <v>0.5</v>
      </c>
      <c r="L190" s="75">
        <f t="shared" si="223"/>
        <v>180</v>
      </c>
      <c r="M190" s="345">
        <f>IF(AL190="","",AL190)</f>
        <v>1</v>
      </c>
      <c r="N190" s="75">
        <f t="shared" si="242"/>
        <v>151</v>
      </c>
      <c r="O190" s="345">
        <f>IF(AN190="","",AN190)</f>
        <v>0</v>
      </c>
      <c r="P190" s="75">
        <f t="shared" si="224"/>
        <v>201</v>
      </c>
      <c r="Q190" s="345">
        <f>IF(AP190="","",AP190)</f>
        <v>1</v>
      </c>
      <c r="R190" s="75">
        <f t="shared" si="225"/>
        <v>182</v>
      </c>
      <c r="S190" s="345">
        <f>IF(AR190="","",AR190)</f>
        <v>0</v>
      </c>
      <c r="T190" s="75">
        <f t="shared" si="226"/>
        <v>190</v>
      </c>
      <c r="U190" s="345">
        <f>IF(AT190="","",AT190)</f>
        <v>1</v>
      </c>
      <c r="V190" s="75">
        <f t="shared" si="227"/>
        <v>1435</v>
      </c>
      <c r="W190" s="345">
        <f>IF(AV190="","",AV190)</f>
        <v>4.5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0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4.5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4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6"/>
      <c r="F191" s="78" t="str">
        <f t="shared" si="220"/>
        <v/>
      </c>
      <c r="G191" s="346"/>
      <c r="H191" s="78" t="str">
        <f t="shared" si="221"/>
        <v/>
      </c>
      <c r="I191" s="346"/>
      <c r="J191" s="78" t="str">
        <f t="shared" si="222"/>
        <v/>
      </c>
      <c r="K191" s="346"/>
      <c r="L191" s="78" t="str">
        <f t="shared" si="223"/>
        <v/>
      </c>
      <c r="M191" s="346"/>
      <c r="N191" s="78" t="str">
        <f t="shared" si="242"/>
        <v/>
      </c>
      <c r="O191" s="346"/>
      <c r="P191" s="78" t="str">
        <f t="shared" si="224"/>
        <v/>
      </c>
      <c r="Q191" s="346"/>
      <c r="R191" s="78" t="str">
        <f t="shared" si="225"/>
        <v/>
      </c>
      <c r="S191" s="346"/>
      <c r="T191" s="78" t="str">
        <f t="shared" si="226"/>
        <v/>
      </c>
      <c r="U191" s="346"/>
      <c r="V191" s="78" t="str">
        <f t="shared" si="227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5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7"/>
      <c r="F192" s="69" t="str">
        <f t="shared" si="220"/>
        <v/>
      </c>
      <c r="G192" s="347"/>
      <c r="H192" s="69" t="str">
        <f t="shared" si="221"/>
        <v/>
      </c>
      <c r="I192" s="347"/>
      <c r="J192" s="69" t="str">
        <f t="shared" si="222"/>
        <v/>
      </c>
      <c r="K192" s="347"/>
      <c r="L192" s="69" t="str">
        <f t="shared" si="223"/>
        <v/>
      </c>
      <c r="M192" s="347"/>
      <c r="N192" s="69" t="str">
        <f t="shared" si="242"/>
        <v/>
      </c>
      <c r="O192" s="347"/>
      <c r="P192" s="69" t="str">
        <f t="shared" si="224"/>
        <v/>
      </c>
      <c r="Q192" s="347"/>
      <c r="R192" s="69" t="str">
        <f t="shared" si="225"/>
        <v/>
      </c>
      <c r="S192" s="347"/>
      <c r="T192" s="69" t="str">
        <f t="shared" si="226"/>
        <v/>
      </c>
      <c r="U192" s="347"/>
      <c r="V192" s="69" t="str">
        <f t="shared" si="227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3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5">
        <f>IF(AD193="","",AD193)</f>
        <v>1</v>
      </c>
      <c r="F193" s="75">
        <f t="shared" si="220"/>
        <v>214</v>
      </c>
      <c r="G193" s="345">
        <f>IF(AF193="","",AF193)</f>
        <v>1</v>
      </c>
      <c r="H193" s="75">
        <f t="shared" si="221"/>
        <v>165</v>
      </c>
      <c r="I193" s="345">
        <f>IF(AH193="","",AH193)</f>
        <v>0</v>
      </c>
      <c r="J193" s="75">
        <f t="shared" si="222"/>
        <v>161</v>
      </c>
      <c r="K193" s="345">
        <f>IF(AJ193="","",AJ193)</f>
        <v>1</v>
      </c>
      <c r="L193" s="75">
        <f t="shared" si="223"/>
        <v>170</v>
      </c>
      <c r="M193" s="345">
        <f>IF(AL193="","",AL193)</f>
        <v>1</v>
      </c>
      <c r="N193" s="75">
        <f t="shared" si="242"/>
        <v>189</v>
      </c>
      <c r="O193" s="345">
        <f>IF(AN193="","",AN193)</f>
        <v>0</v>
      </c>
      <c r="P193" s="75">
        <f t="shared" si="224"/>
        <v>180</v>
      </c>
      <c r="Q193" s="345">
        <f>IF(AP193="","",AP193)</f>
        <v>1</v>
      </c>
      <c r="R193" s="75">
        <f t="shared" si="225"/>
        <v>200</v>
      </c>
      <c r="S193" s="345">
        <f>IF(AR193="","",AR193)</f>
        <v>1</v>
      </c>
      <c r="T193" s="75">
        <f t="shared" si="226"/>
        <v>195</v>
      </c>
      <c r="U193" s="345">
        <f>IF(AT193="","",AT193)</f>
        <v>0</v>
      </c>
      <c r="V193" s="75">
        <f t="shared" si="227"/>
        <v>1681</v>
      </c>
      <c r="W193" s="345">
        <f>IF(AV193="","",AV193)</f>
        <v>6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4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6"/>
      <c r="F194" s="78" t="str">
        <f t="shared" si="220"/>
        <v/>
      </c>
      <c r="G194" s="346"/>
      <c r="H194" s="78" t="str">
        <f t="shared" si="221"/>
        <v/>
      </c>
      <c r="I194" s="346"/>
      <c r="J194" s="78" t="str">
        <f t="shared" si="222"/>
        <v/>
      </c>
      <c r="K194" s="346"/>
      <c r="L194" s="78" t="str">
        <f t="shared" si="223"/>
        <v/>
      </c>
      <c r="M194" s="346"/>
      <c r="N194" s="78" t="str">
        <f t="shared" si="242"/>
        <v/>
      </c>
      <c r="O194" s="346"/>
      <c r="P194" s="78" t="str">
        <f t="shared" si="224"/>
        <v/>
      </c>
      <c r="Q194" s="346"/>
      <c r="R194" s="78" t="str">
        <f t="shared" si="225"/>
        <v/>
      </c>
      <c r="S194" s="346"/>
      <c r="T194" s="78" t="str">
        <f t="shared" si="226"/>
        <v/>
      </c>
      <c r="U194" s="346"/>
      <c r="V194" s="78" t="str">
        <f t="shared" si="227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5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7"/>
      <c r="F195" s="69" t="str">
        <f t="shared" si="220"/>
        <v/>
      </c>
      <c r="G195" s="347"/>
      <c r="H195" s="69" t="str">
        <f t="shared" si="221"/>
        <v/>
      </c>
      <c r="I195" s="347"/>
      <c r="J195" s="69" t="str">
        <f t="shared" si="222"/>
        <v/>
      </c>
      <c r="K195" s="347"/>
      <c r="L195" s="69" t="str">
        <f t="shared" si="223"/>
        <v/>
      </c>
      <c r="M195" s="347"/>
      <c r="N195" s="69" t="str">
        <f t="shared" si="242"/>
        <v/>
      </c>
      <c r="O195" s="347"/>
      <c r="P195" s="69" t="str">
        <f t="shared" si="224"/>
        <v/>
      </c>
      <c r="Q195" s="347"/>
      <c r="R195" s="69" t="str">
        <f t="shared" si="225"/>
        <v/>
      </c>
      <c r="S195" s="347"/>
      <c r="T195" s="69" t="str">
        <f t="shared" si="226"/>
        <v/>
      </c>
      <c r="U195" s="347"/>
      <c r="V195" s="69" t="str">
        <f t="shared" si="227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3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5">
        <f>IF(AD196="","",AD196)</f>
        <v>0</v>
      </c>
      <c r="F196" s="75">
        <f t="shared" si="220"/>
        <v>214</v>
      </c>
      <c r="G196" s="345">
        <f>IF(AF196="","",AF196)</f>
        <v>1</v>
      </c>
      <c r="H196" s="75">
        <f t="shared" si="221"/>
        <v>149</v>
      </c>
      <c r="I196" s="345">
        <f>IF(AH196="","",AH196)</f>
        <v>0</v>
      </c>
      <c r="J196" s="75">
        <f t="shared" si="222"/>
        <v>169</v>
      </c>
      <c r="K196" s="345">
        <f>IF(AJ196="","",AJ196)</f>
        <v>0</v>
      </c>
      <c r="L196" s="75">
        <f t="shared" si="223"/>
        <v>183</v>
      </c>
      <c r="M196" s="345">
        <f>IF(AL196="","",AL196)</f>
        <v>1</v>
      </c>
      <c r="N196" s="75">
        <f t="shared" si="242"/>
        <v>161</v>
      </c>
      <c r="O196" s="345">
        <f>IF(AN196="","",AN196)</f>
        <v>1</v>
      </c>
      <c r="P196" s="75">
        <f t="shared" si="224"/>
        <v>180</v>
      </c>
      <c r="Q196" s="345">
        <f>IF(AP196="","",AP196)</f>
        <v>1</v>
      </c>
      <c r="R196" s="75">
        <f t="shared" si="225"/>
        <v>181</v>
      </c>
      <c r="S196" s="345">
        <f>IF(AR196="","",AR196)</f>
        <v>1</v>
      </c>
      <c r="T196" s="75">
        <f t="shared" si="226"/>
        <v>191</v>
      </c>
      <c r="U196" s="345">
        <f>IF(AT196="","",AT196)</f>
        <v>1</v>
      </c>
      <c r="V196" s="75">
        <f t="shared" si="227"/>
        <v>1599</v>
      </c>
      <c r="W196" s="345">
        <f>IF(AV196="","",AV196)</f>
        <v>6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0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4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6"/>
      <c r="F197" s="78" t="str">
        <f t="shared" si="220"/>
        <v/>
      </c>
      <c r="G197" s="346"/>
      <c r="H197" s="78" t="str">
        <f t="shared" si="221"/>
        <v/>
      </c>
      <c r="I197" s="346"/>
      <c r="J197" s="78" t="str">
        <f t="shared" si="222"/>
        <v/>
      </c>
      <c r="K197" s="346"/>
      <c r="L197" s="78" t="str">
        <f t="shared" si="223"/>
        <v/>
      </c>
      <c r="M197" s="346"/>
      <c r="N197" s="78" t="str">
        <f t="shared" si="242"/>
        <v/>
      </c>
      <c r="O197" s="346"/>
      <c r="P197" s="78" t="str">
        <f t="shared" si="224"/>
        <v/>
      </c>
      <c r="Q197" s="346"/>
      <c r="R197" s="78" t="str">
        <f t="shared" si="225"/>
        <v/>
      </c>
      <c r="S197" s="346"/>
      <c r="T197" s="78" t="str">
        <f t="shared" si="226"/>
        <v/>
      </c>
      <c r="U197" s="346"/>
      <c r="V197" s="78" t="str">
        <f t="shared" si="227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5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7"/>
      <c r="F198" s="69" t="str">
        <f t="shared" si="220"/>
        <v/>
      </c>
      <c r="G198" s="347"/>
      <c r="H198" s="69" t="str">
        <f t="shared" si="221"/>
        <v/>
      </c>
      <c r="I198" s="347"/>
      <c r="J198" s="69" t="str">
        <f t="shared" si="222"/>
        <v/>
      </c>
      <c r="K198" s="347"/>
      <c r="L198" s="69" t="str">
        <f t="shared" si="223"/>
        <v/>
      </c>
      <c r="M198" s="347"/>
      <c r="N198" s="69" t="str">
        <f t="shared" si="242"/>
        <v/>
      </c>
      <c r="O198" s="347"/>
      <c r="P198" s="69" t="str">
        <f t="shared" si="224"/>
        <v/>
      </c>
      <c r="Q198" s="347"/>
      <c r="R198" s="69" t="str">
        <f t="shared" si="225"/>
        <v/>
      </c>
      <c r="S198" s="347"/>
      <c r="T198" s="69" t="str">
        <f t="shared" si="226"/>
        <v/>
      </c>
      <c r="U198" s="347"/>
      <c r="V198" s="69" t="str">
        <f t="shared" si="227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0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2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22.506156000000001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3">
        <f t="shared" ref="D202:M204" si="255">IF(AC202=0,"",AC202)</f>
        <v>4</v>
      </c>
      <c r="E202" s="353" t="str">
        <f t="shared" si="255"/>
        <v/>
      </c>
      <c r="F202" s="353">
        <f t="shared" si="255"/>
        <v>6</v>
      </c>
      <c r="G202" s="353" t="str">
        <f t="shared" si="255"/>
        <v/>
      </c>
      <c r="H202" s="353">
        <f t="shared" si="255"/>
        <v>10</v>
      </c>
      <c r="I202" s="353" t="str">
        <f t="shared" si="255"/>
        <v/>
      </c>
      <c r="J202" s="353">
        <f t="shared" si="255"/>
        <v>2</v>
      </c>
      <c r="K202" s="353" t="str">
        <f t="shared" si="255"/>
        <v/>
      </c>
      <c r="L202" s="353">
        <f t="shared" si="255"/>
        <v>5</v>
      </c>
      <c r="M202" s="353" t="str">
        <f t="shared" si="255"/>
        <v/>
      </c>
      <c r="N202" s="353">
        <f t="shared" ref="N202:U204" si="256">IF(AM202=0,"",AM202)</f>
        <v>1</v>
      </c>
      <c r="O202" s="353" t="str">
        <f t="shared" si="256"/>
        <v/>
      </c>
      <c r="P202" s="353">
        <f t="shared" si="256"/>
        <v>9</v>
      </c>
      <c r="Q202" s="353" t="str">
        <f t="shared" si="256"/>
        <v/>
      </c>
      <c r="R202" s="353">
        <f t="shared" si="256"/>
        <v>8</v>
      </c>
      <c r="S202" s="353" t="str">
        <f t="shared" si="256"/>
        <v/>
      </c>
      <c r="T202" s="353">
        <f t="shared" si="256"/>
        <v>3</v>
      </c>
      <c r="U202" s="353" t="str">
        <f t="shared" si="256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VLOOKUP($AA182,Schlüssel!$A$5:$K$14,3)</f>
        <v>4</v>
      </c>
      <c r="AD202" s="368"/>
      <c r="AE202" s="367">
        <f>VLOOKUP($AA182,Schlüssel!$A$5:$K$14,4)</f>
        <v>6</v>
      </c>
      <c r="AF202" s="368"/>
      <c r="AG202" s="367">
        <f>VLOOKUP($AA182,Schlüssel!$A$5:$K$14,5)</f>
        <v>10</v>
      </c>
      <c r="AH202" s="368"/>
      <c r="AI202" s="367">
        <f>VLOOKUP($AA182,Schlüssel!$A$5:$K$14,6)</f>
        <v>2</v>
      </c>
      <c r="AJ202" s="368"/>
      <c r="AK202" s="367">
        <f>VLOOKUP($AA182,Schlüssel!$A$5:$K$14,7)</f>
        <v>5</v>
      </c>
      <c r="AL202" s="368"/>
      <c r="AM202" s="367">
        <f>VLOOKUP($AA182,Schlüssel!$A$5:$K$14,8)</f>
        <v>1</v>
      </c>
      <c r="AN202" s="368"/>
      <c r="AO202" s="367">
        <f>VLOOKUP($AA182,Schlüssel!$A$5:$K$14,9)</f>
        <v>9</v>
      </c>
      <c r="AP202" s="368"/>
      <c r="AQ202" s="367">
        <f>VLOOKUP($AA182,Schlüssel!$A$5:$K$14,10)</f>
        <v>8</v>
      </c>
      <c r="AR202" s="368"/>
      <c r="AS202" s="367">
        <f>VLOOKUP($AA182,Schlüssel!$A$5:$K$14,11)</f>
        <v>3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5" t="str">
        <f t="shared" si="255"/>
        <v>BK München 3</v>
      </c>
      <c r="E203" s="356" t="str">
        <f t="shared" si="255"/>
        <v/>
      </c>
      <c r="F203" s="355" t="str">
        <f t="shared" si="255"/>
        <v>Phönix 03 Lauf</v>
      </c>
      <c r="G203" s="356" t="str">
        <f t="shared" si="255"/>
        <v/>
      </c>
      <c r="H203" s="355" t="str">
        <f t="shared" si="255"/>
        <v>BK München 4</v>
      </c>
      <c r="I203" s="356" t="str">
        <f t="shared" si="255"/>
        <v/>
      </c>
      <c r="J203" s="355" t="str">
        <f t="shared" si="255"/>
        <v>BK München 2</v>
      </c>
      <c r="K203" s="356" t="str">
        <f t="shared" si="255"/>
        <v/>
      </c>
      <c r="L203" s="355" t="str">
        <f t="shared" si="255"/>
        <v xml:space="preserve">Weiß Blau Unterföhring </v>
      </c>
      <c r="M203" s="356" t="str">
        <f t="shared" si="255"/>
        <v/>
      </c>
      <c r="N203" s="355" t="str">
        <f t="shared" si="256"/>
        <v>Praetoria Regensburg</v>
      </c>
      <c r="O203" s="356" t="str">
        <f t="shared" si="256"/>
        <v/>
      </c>
      <c r="P203" s="355" t="str">
        <f t="shared" si="256"/>
        <v>RW Lichtenhof 69 Stein 2</v>
      </c>
      <c r="Q203" s="356" t="str">
        <f t="shared" si="256"/>
        <v/>
      </c>
      <c r="R203" s="355" t="str">
        <f t="shared" si="256"/>
        <v>EPA München 1</v>
      </c>
      <c r="S203" s="356" t="str">
        <f t="shared" si="256"/>
        <v/>
      </c>
      <c r="T203" s="355" t="str">
        <f t="shared" si="256"/>
        <v>Highroller Rosenheim</v>
      </c>
      <c r="U203" s="356" t="str">
        <f t="shared" si="256"/>
        <v/>
      </c>
      <c r="V203" s="360"/>
      <c r="W203" s="360"/>
      <c r="AA203" s="90"/>
      <c r="AB203" s="86"/>
      <c r="AC203" s="355" t="str">
        <f>VLOOKUP(AC202,Schlüssel!$A$5:$K$14,2)</f>
        <v>BK München 3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Praetoria Regensburg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>Highroller Rosenheim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7" t="str">
        <f t="shared" si="255"/>
        <v/>
      </c>
      <c r="E204" s="357" t="str">
        <f t="shared" si="255"/>
        <v/>
      </c>
      <c r="F204" s="357" t="str">
        <f t="shared" si="255"/>
        <v/>
      </c>
      <c r="G204" s="357" t="str">
        <f t="shared" si="255"/>
        <v/>
      </c>
      <c r="H204" s="357" t="str">
        <f t="shared" si="255"/>
        <v/>
      </c>
      <c r="I204" s="357" t="str">
        <f t="shared" si="255"/>
        <v/>
      </c>
      <c r="J204" s="357" t="str">
        <f t="shared" si="255"/>
        <v/>
      </c>
      <c r="K204" s="357" t="str">
        <f t="shared" si="255"/>
        <v/>
      </c>
      <c r="L204" s="357" t="str">
        <f t="shared" si="255"/>
        <v/>
      </c>
      <c r="M204" s="357" t="str">
        <f t="shared" si="255"/>
        <v/>
      </c>
      <c r="N204" s="357" t="str">
        <f t="shared" si="256"/>
        <v/>
      </c>
      <c r="O204" s="357" t="str">
        <f t="shared" si="256"/>
        <v/>
      </c>
      <c r="P204" s="357" t="str">
        <f t="shared" si="256"/>
        <v/>
      </c>
      <c r="Q204" s="357" t="str">
        <f t="shared" si="256"/>
        <v/>
      </c>
      <c r="R204" s="357" t="str">
        <f t="shared" si="256"/>
        <v/>
      </c>
      <c r="S204" s="357" t="str">
        <f t="shared" si="256"/>
        <v/>
      </c>
      <c r="T204" s="357" t="str">
        <f t="shared" si="256"/>
        <v/>
      </c>
      <c r="U204" s="358" t="str">
        <f t="shared" si="256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si="253"/>
        <v>Spieler 1</v>
      </c>
      <c r="C205" s="372" t="str">
        <f t="shared" si="254"/>
        <v/>
      </c>
      <c r="D205" s="359">
        <f>IF(AC205=301,"",AC205)</f>
        <v>178</v>
      </c>
      <c r="E205" s="359" t="str">
        <f>IF(AD205=0,"",AD205)</f>
        <v/>
      </c>
      <c r="F205" s="359">
        <f>IF(AE205=301,"",AE205)</f>
        <v>172</v>
      </c>
      <c r="G205" s="359" t="str">
        <f>IF(AF205=0,"",AF205)</f>
        <v/>
      </c>
      <c r="H205" s="359">
        <f>IF(AG205=301,"",AG205)</f>
        <v>145</v>
      </c>
      <c r="I205" s="359" t="str">
        <f>IF(AH205=0,"",AH205)</f>
        <v/>
      </c>
      <c r="J205" s="359">
        <f>IF(AI205=301,"",AI205)</f>
        <v>222</v>
      </c>
      <c r="K205" s="359" t="str">
        <f>IF(AJ205=0,"",AJ205)</f>
        <v/>
      </c>
      <c r="L205" s="359">
        <f>IF(AK205=301,"",AK205)</f>
        <v>194</v>
      </c>
      <c r="M205" s="359" t="str">
        <f>IF(AL205=0,"",AL205)</f>
        <v/>
      </c>
      <c r="N205" s="359">
        <f>IF(AM205=301,"",AM205)</f>
        <v>147</v>
      </c>
      <c r="O205" s="359" t="str">
        <f>IF(AN205=0,"",AN205)</f>
        <v/>
      </c>
      <c r="P205" s="359">
        <f>IF(AO205=301,"",AO205)</f>
        <v>212</v>
      </c>
      <c r="Q205" s="359" t="str">
        <f>IF(AP205=0,"",AP205)</f>
        <v/>
      </c>
      <c r="R205" s="359">
        <f>IF(AQ205=301,"",AQ205)</f>
        <v>160</v>
      </c>
      <c r="S205" s="359" t="str">
        <f>IF(AR205=0,"",AR205)</f>
        <v/>
      </c>
      <c r="T205" s="359">
        <f>IF(AS205=301,"",AS205)</f>
        <v>191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178</v>
      </c>
      <c r="AD205" s="366"/>
      <c r="AE205" s="365">
        <f>ABS(INDEX(AE:AE,MATCH(AE202,$AA:$AA,0)+5)+INDEX(AE:AE,MATCH(AE202,$AA:$AA,0)+6)+INDEX(AE:AE,MATCH(AE202,$AA:$AA,0)+7))</f>
        <v>172</v>
      </c>
      <c r="AF205" s="366"/>
      <c r="AG205" s="365">
        <f>ABS(INDEX(AG:AG,MATCH(AG202,$AA:$AA,0)+5)+INDEX(AG:AG,MATCH(AG202,$AA:$AA,0)+6)+INDEX(AG:AG,MATCH(AG202,$AA:$AA,0)+7))</f>
        <v>145</v>
      </c>
      <c r="AH205" s="366"/>
      <c r="AI205" s="365">
        <f>ABS(INDEX(AI:AI,MATCH(AI202,$AA:$AA,0)+5)+INDEX(AI:AI,MATCH(AI202,$AA:$AA,0)+6)+INDEX(AI:AI,MATCH(AI202,$AA:$AA,0)+7))</f>
        <v>222</v>
      </c>
      <c r="AJ205" s="366"/>
      <c r="AK205" s="365">
        <f>ABS(INDEX(AK:AK,MATCH(AK202,$AA:$AA,0)+5)+INDEX(AK:AK,MATCH(AK202,$AA:$AA,0)+6)+INDEX(AK:AK,MATCH(AK202,$AA:$AA,0)+7))</f>
        <v>194</v>
      </c>
      <c r="AL205" s="366"/>
      <c r="AM205" s="365">
        <f>ABS(INDEX(AM:AM,MATCH(AM202,$AA:$AA,0)+5)+INDEX(AM:AM,MATCH(AM202,$AA:$AA,0)+6)+INDEX(AM:AM,MATCH(AM202,$AA:$AA,0)+7))</f>
        <v>147</v>
      </c>
      <c r="AN205" s="366"/>
      <c r="AO205" s="365">
        <f>ABS(INDEX(AO:AO,MATCH(AO202,$AA:$AA,0)+5)+INDEX(AO:AO,MATCH(AO202,$AA:$AA,0)+6)+INDEX(AO:AO,MATCH(AO202,$AA:$AA,0)+7))</f>
        <v>212</v>
      </c>
      <c r="AP205" s="366"/>
      <c r="AQ205" s="365">
        <f>ABS(INDEX(AQ:AQ,MATCH(AQ202,$AA:$AA,0)+5)+INDEX(AQ:AQ,MATCH(AQ202,$AA:$AA,0)+6)+INDEX(AQ:AQ,MATCH(AQ202,$AA:$AA,0)+7))</f>
        <v>160</v>
      </c>
      <c r="AR205" s="366"/>
      <c r="AS205" s="365">
        <f>ABS(INDEX(AS:AS,MATCH(AS202,$AA:$AA,0)+5)+INDEX(AS:AS,MATCH(AS202,$AA:$AA,0)+6)+INDEX(AS:AS,MATCH(AS202,$AA:$AA,0)+7))</f>
        <v>191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53"/>
        <v>Spieler 2</v>
      </c>
      <c r="C206" s="372" t="str">
        <f t="shared" si="254"/>
        <v/>
      </c>
      <c r="D206" s="359">
        <f>IF(AC206=301,"",AC206)</f>
        <v>182</v>
      </c>
      <c r="E206" s="359" t="str">
        <f>IF(AD206=0,"",AD206)</f>
        <v/>
      </c>
      <c r="F206" s="359">
        <f>IF(AE206=301,"",AE206)</f>
        <v>220</v>
      </c>
      <c r="G206" s="359" t="str">
        <f>IF(AF206=0,"",AF206)</f>
        <v/>
      </c>
      <c r="H206" s="359">
        <f>IF(AG206=301,"",AG206)</f>
        <v>160</v>
      </c>
      <c r="I206" s="359" t="str">
        <f>IF(AH206=0,"",AH206)</f>
        <v/>
      </c>
      <c r="J206" s="359">
        <f>IF(AI206=301,"",AI206)</f>
        <v>132</v>
      </c>
      <c r="K206" s="359" t="str">
        <f>IF(AJ206=0,"",AJ206)</f>
        <v/>
      </c>
      <c r="L206" s="359">
        <f>IF(AK206=301,"",AK206)</f>
        <v>158</v>
      </c>
      <c r="M206" s="359" t="str">
        <f>IF(AL206=0,"",AL206)</f>
        <v/>
      </c>
      <c r="N206" s="359">
        <f>IF(AM206=301,"",AM206)</f>
        <v>197</v>
      </c>
      <c r="O206" s="359" t="str">
        <f>IF(AN206=0,"",AN206)</f>
        <v/>
      </c>
      <c r="P206" s="359">
        <f>IF(AO206=301,"",AO206)</f>
        <v>177</v>
      </c>
      <c r="Q206" s="359" t="str">
        <f>IF(AP206=0,"",AP206)</f>
        <v/>
      </c>
      <c r="R206" s="359">
        <f>IF(AQ206=301,"",AQ206)</f>
        <v>202</v>
      </c>
      <c r="S206" s="359" t="str">
        <f>IF(AR206=0,"",AR206)</f>
        <v/>
      </c>
      <c r="T206" s="359">
        <f>IF(AS206=301,"",AS206)</f>
        <v>188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182</v>
      </c>
      <c r="AD206" s="364"/>
      <c r="AE206" s="363">
        <f>ABS(INDEX(AE:AE,MATCH(AE202,$AA:$AA,0)+8)+INDEX(AE:AE,MATCH(AE202,$AA:$AA,0)+9)+INDEX(AE:AE,MATCH(AE202,$AA:$AA,0)+10))</f>
        <v>220</v>
      </c>
      <c r="AF206" s="364"/>
      <c r="AG206" s="363">
        <f>ABS(INDEX(AG:AG,MATCH(AG202,$AA:$AA,0)+8)+INDEX(AG:AG,MATCH(AG202,$AA:$AA,0)+9)+INDEX(AG:AG,MATCH(AG202,$AA:$AA,0)+10))</f>
        <v>160</v>
      </c>
      <c r="AH206" s="364"/>
      <c r="AI206" s="363">
        <f>ABS(INDEX(AI:AI,MATCH(AI202,$AA:$AA,0)+8)+INDEX(AI:AI,MATCH(AI202,$AA:$AA,0)+9)+INDEX(AI:AI,MATCH(AI202,$AA:$AA,0)+10))</f>
        <v>132</v>
      </c>
      <c r="AJ206" s="364"/>
      <c r="AK206" s="363">
        <f>ABS(INDEX(AK:AK,MATCH(AK202,$AA:$AA,0)+8)+INDEX(AK:AK,MATCH(AK202,$AA:$AA,0)+9)+INDEX(AK:AK,MATCH(AK202,$AA:$AA,0)+10))</f>
        <v>158</v>
      </c>
      <c r="AL206" s="364"/>
      <c r="AM206" s="363">
        <f>ABS(INDEX(AM:AM,MATCH(AM202,$AA:$AA,0)+8)+INDEX(AM:AM,MATCH(AM202,$AA:$AA,0)+9)+INDEX(AM:AM,MATCH(AM202,$AA:$AA,0)+10))</f>
        <v>197</v>
      </c>
      <c r="AN206" s="364"/>
      <c r="AO206" s="363">
        <f>ABS(INDEX(AO:AO,MATCH(AO202,$AA:$AA,0)+8)+INDEX(AO:AO,MATCH(AO202,$AA:$AA,0)+9)+INDEX(AO:AO,MATCH(AO202,$AA:$AA,0)+10))</f>
        <v>177</v>
      </c>
      <c r="AP206" s="364"/>
      <c r="AQ206" s="363">
        <f>ABS(INDEX(AQ:AQ,MATCH(AQ202,$AA:$AA,0)+8)+INDEX(AQ:AQ,MATCH(AQ202,$AA:$AA,0)+9)+INDEX(AQ:AQ,MATCH(AQ202,$AA:$AA,0)+10))</f>
        <v>202</v>
      </c>
      <c r="AR206" s="364"/>
      <c r="AS206" s="363">
        <f>ABS(INDEX(AS:AS,MATCH(AS202,$AA:$AA,0)+8)+INDEX(AS:AS,MATCH(AS202,$AA:$AA,0)+9)+INDEX(AS:AS,MATCH(AS202,$AA:$AA,0)+10))</f>
        <v>188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53"/>
        <v>Spieler 3</v>
      </c>
      <c r="C207" s="372" t="str">
        <f t="shared" si="254"/>
        <v/>
      </c>
      <c r="D207" s="359">
        <f>IF(AC207=301,"",AC207)</f>
        <v>139</v>
      </c>
      <c r="E207" s="359" t="str">
        <f>IF(AD207=0,"",AD207)</f>
        <v/>
      </c>
      <c r="F207" s="359">
        <f>IF(AE207=301,"",AE207)</f>
        <v>170</v>
      </c>
      <c r="G207" s="359" t="str">
        <f>IF(AF207=0,"",AF207)</f>
        <v/>
      </c>
      <c r="H207" s="359">
        <f>IF(AG207=301,"",AG207)</f>
        <v>202</v>
      </c>
      <c r="I207" s="359" t="str">
        <f>IF(AH207=0,"",AH207)</f>
        <v/>
      </c>
      <c r="J207" s="359">
        <f>IF(AI207=301,"",AI207)</f>
        <v>134</v>
      </c>
      <c r="K207" s="359" t="str">
        <f>IF(AJ207=0,"",AJ207)</f>
        <v/>
      </c>
      <c r="L207" s="359">
        <f>IF(AK207=301,"",AK207)</f>
        <v>145</v>
      </c>
      <c r="M207" s="359" t="str">
        <f>IF(AL207=0,"",AL207)</f>
        <v/>
      </c>
      <c r="N207" s="359">
        <f>IF(AM207=301,"",AM207)</f>
        <v>197</v>
      </c>
      <c r="O207" s="359" t="str">
        <f>IF(AN207=0,"",AN207)</f>
        <v/>
      </c>
      <c r="P207" s="359">
        <f>IF(AO207=301,"",AO207)</f>
        <v>140</v>
      </c>
      <c r="Q207" s="359" t="str">
        <f>IF(AP207=0,"",AP207)</f>
        <v/>
      </c>
      <c r="R207" s="359">
        <f>IF(AQ207=301,"",AQ207)</f>
        <v>191</v>
      </c>
      <c r="S207" s="359" t="str">
        <f>IF(AR207=0,"",AR207)</f>
        <v/>
      </c>
      <c r="T207" s="359">
        <f>IF(AS207=301,"",AS207)</f>
        <v>225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139</v>
      </c>
      <c r="AD207" s="364"/>
      <c r="AE207" s="363">
        <f>ABS(INDEX(AE:AE,MATCH(AE202,$AA:$AA,0)+11)+INDEX(AE:AE,MATCH(AE202,$AA:$AA,0)+12)+INDEX(AE:AE,MATCH(AE202,$AA:$AA,0)+13))</f>
        <v>170</v>
      </c>
      <c r="AF207" s="364"/>
      <c r="AG207" s="363">
        <f>ABS(INDEX(AG:AG,MATCH(AG202,$AA:$AA,0)+11)+INDEX(AG:AG,MATCH(AG202,$AA:$AA,0)+12)+INDEX(AG:AG,MATCH(AG202,$AA:$AA,0)+13))</f>
        <v>202</v>
      </c>
      <c r="AH207" s="364"/>
      <c r="AI207" s="363">
        <f>ABS(INDEX(AI:AI,MATCH(AI202,$AA:$AA,0)+11)+INDEX(AI:AI,MATCH(AI202,$AA:$AA,0)+12)+INDEX(AI:AI,MATCH(AI202,$AA:$AA,0)+13))</f>
        <v>134</v>
      </c>
      <c r="AJ207" s="364"/>
      <c r="AK207" s="363">
        <f>ABS(INDEX(AK:AK,MATCH(AK202,$AA:$AA,0)+11)+INDEX(AK:AK,MATCH(AK202,$AA:$AA,0)+12)+INDEX(AK:AK,MATCH(AK202,$AA:$AA,0)+13))</f>
        <v>145</v>
      </c>
      <c r="AL207" s="364"/>
      <c r="AM207" s="363">
        <f>ABS(INDEX(AM:AM,MATCH(AM202,$AA:$AA,0)+11)+INDEX(AM:AM,MATCH(AM202,$AA:$AA,0)+12)+INDEX(AM:AM,MATCH(AM202,$AA:$AA,0)+13))</f>
        <v>197</v>
      </c>
      <c r="AN207" s="364"/>
      <c r="AO207" s="363">
        <f>ABS(INDEX(AO:AO,MATCH(AO202,$AA:$AA,0)+11)+INDEX(AO:AO,MATCH(AO202,$AA:$AA,0)+12)+INDEX(AO:AO,MATCH(AO202,$AA:$AA,0)+13))</f>
        <v>140</v>
      </c>
      <c r="AP207" s="364"/>
      <c r="AQ207" s="363">
        <f>ABS(INDEX(AQ:AQ,MATCH(AQ202,$AA:$AA,0)+11)+INDEX(AQ:AQ,MATCH(AQ202,$AA:$AA,0)+12)+INDEX(AQ:AQ,MATCH(AQ202,$AA:$AA,0)+13))</f>
        <v>191</v>
      </c>
      <c r="AR207" s="364"/>
      <c r="AS207" s="363">
        <f>ABS(INDEX(AS:AS,MATCH(AS202,$AA:$AA,0)+11)+INDEX(AS:AS,MATCH(AS202,$AA:$AA,0)+12)+INDEX(AS:AS,MATCH(AS202,$AA:$AA,0)+13))</f>
        <v>225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53"/>
        <v>Spieler 4</v>
      </c>
      <c r="C208" s="372" t="str">
        <f t="shared" si="254"/>
        <v/>
      </c>
      <c r="D208" s="359">
        <f>IF(AC208=301,"",AC208)</f>
        <v>201</v>
      </c>
      <c r="E208" s="359" t="str">
        <f>IF(AD208=0,"",AD208)</f>
        <v/>
      </c>
      <c r="F208" s="359">
        <f>IF(AE208=301,"",AE208)</f>
        <v>177</v>
      </c>
      <c r="G208" s="359" t="str">
        <f>IF(AF208=0,"",AF208)</f>
        <v/>
      </c>
      <c r="H208" s="359">
        <f>IF(AG208=301,"",AG208)</f>
        <v>179</v>
      </c>
      <c r="I208" s="359" t="str">
        <f>IF(AH208=0,"",AH208)</f>
        <v/>
      </c>
      <c r="J208" s="359">
        <f>IF(AI208=301,"",AI208)</f>
        <v>180</v>
      </c>
      <c r="K208" s="359" t="str">
        <f>IF(AJ208=0,"",AJ208)</f>
        <v/>
      </c>
      <c r="L208" s="359">
        <f>IF(AK208=301,"",AK208)</f>
        <v>167</v>
      </c>
      <c r="M208" s="359" t="str">
        <f>IF(AL208=0,"",AL208)</f>
        <v/>
      </c>
      <c r="N208" s="359">
        <f>IF(AM208=301,"",AM208)</f>
        <v>158</v>
      </c>
      <c r="O208" s="359" t="str">
        <f>IF(AN208=0,"",AN208)</f>
        <v/>
      </c>
      <c r="P208" s="359">
        <f>IF(AO208=301,"",AO208)</f>
        <v>160</v>
      </c>
      <c r="Q208" s="359" t="str">
        <f>IF(AP208=0,"",AP208)</f>
        <v/>
      </c>
      <c r="R208" s="359">
        <f>IF(AQ208=301,"",AQ208)</f>
        <v>156</v>
      </c>
      <c r="S208" s="359" t="str">
        <f>IF(AR208=0,"",AR208)</f>
        <v/>
      </c>
      <c r="T208" s="359">
        <f>IF(AS208=301,"",AS208)</f>
        <v>174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201</v>
      </c>
      <c r="AD208" s="364"/>
      <c r="AE208" s="363">
        <f>ABS(INDEX(AE:AE,MATCH(AE202,$AA:$AA,0)+14)+INDEX(AE:AE,MATCH(AE202,$AA:$AA,0)+15)+INDEX(AE:AE,MATCH(AE202,$AA:$AA,0)+16))</f>
        <v>177</v>
      </c>
      <c r="AF208" s="364"/>
      <c r="AG208" s="363">
        <f>ABS(INDEX(AG:AG,MATCH(AG202,$AA:$AA,0)+14)+INDEX(AG:AG,MATCH(AG202,$AA:$AA,0)+15)+INDEX(AG:AG,MATCH(AG202,$AA:$AA,0)+16))</f>
        <v>179</v>
      </c>
      <c r="AH208" s="364"/>
      <c r="AI208" s="363">
        <f>ABS(INDEX(AI:AI,MATCH(AI202,$AA:$AA,0)+14)+INDEX(AI:AI,MATCH(AI202,$AA:$AA,0)+15)+INDEX(AI:AI,MATCH(AI202,$AA:$AA,0)+16))</f>
        <v>180</v>
      </c>
      <c r="AJ208" s="364"/>
      <c r="AK208" s="363">
        <f>ABS(INDEX(AK:AK,MATCH(AK202,$AA:$AA,0)+14)+INDEX(AK:AK,MATCH(AK202,$AA:$AA,0)+15)+INDEX(AK:AK,MATCH(AK202,$AA:$AA,0)+16))</f>
        <v>167</v>
      </c>
      <c r="AL208" s="364"/>
      <c r="AM208" s="363">
        <f>ABS(INDEX(AM:AM,MATCH(AM202,$AA:$AA,0)+14)+INDEX(AM:AM,MATCH(AM202,$AA:$AA,0)+15)+INDEX(AM:AM,MATCH(AM202,$AA:$AA,0)+16))</f>
        <v>158</v>
      </c>
      <c r="AN208" s="364"/>
      <c r="AO208" s="363">
        <f>ABS(INDEX(AO:AO,MATCH(AO202,$AA:$AA,0)+14)+INDEX(AO:AO,MATCH(AO202,$AA:$AA,0)+15)+INDEX(AO:AO,MATCH(AO202,$AA:$AA,0)+16))</f>
        <v>160</v>
      </c>
      <c r="AP208" s="364"/>
      <c r="AQ208" s="363">
        <f>ABS(INDEX(AQ:AQ,MATCH(AQ202,$AA:$AA,0)+14)+INDEX(AQ:AQ,MATCH(AQ202,$AA:$AA,0)+15)+INDEX(AQ:AQ,MATCH(AQ202,$AA:$AA,0)+16))</f>
        <v>156</v>
      </c>
      <c r="AR208" s="364"/>
      <c r="AS208" s="363">
        <f>ABS(INDEX(AS:AS,MATCH(AS202,$AA:$AA,0)+14)+INDEX(AS:AS,MATCH(AS202,$AA:$AA,0)+15)+INDEX(AS:AS,MATCH(AS202,$AA:$AA,0)+16))</f>
        <v>174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53"/>
        <v>Gesamt</v>
      </c>
      <c r="C209" s="344" t="str">
        <f t="shared" si="254"/>
        <v/>
      </c>
      <c r="D209" s="362">
        <f>IF(AC209=1505,"",AC209)</f>
        <v>700</v>
      </c>
      <c r="E209" s="362" t="str">
        <f>IF(AD209=0,"",AD209)</f>
        <v/>
      </c>
      <c r="F209" s="362">
        <f>IF(AE209=1505,"",AE209)</f>
        <v>739</v>
      </c>
      <c r="G209" s="362" t="str">
        <f>IF(AF209=0,"",AF209)</f>
        <v/>
      </c>
      <c r="H209" s="362">
        <f>IF(AG209=1505,"",AG209)</f>
        <v>686</v>
      </c>
      <c r="I209" s="362" t="str">
        <f>IF(AH209=0,"",AH209)</f>
        <v/>
      </c>
      <c r="J209" s="362">
        <f>IF(AI209=1505,"",AI209)</f>
        <v>668</v>
      </c>
      <c r="K209" s="362" t="str">
        <f>IF(AJ209=0,"",AJ209)</f>
        <v/>
      </c>
      <c r="L209" s="362">
        <f>IF(AK209=1505,"",AK209)</f>
        <v>664</v>
      </c>
      <c r="M209" s="362" t="str">
        <f>IF(AL209=0,"",AL209)</f>
        <v/>
      </c>
      <c r="N209" s="362">
        <f>IF(AM209=1505,"",AM209)</f>
        <v>699</v>
      </c>
      <c r="O209" s="362" t="str">
        <f>IF(AN209=0,"",AN209)</f>
        <v/>
      </c>
      <c r="P209" s="362">
        <f>IF(AO209=1505,"",AO209)</f>
        <v>689</v>
      </c>
      <c r="Q209" s="362" t="str">
        <f>IF(AP209=0,"",AP209)</f>
        <v/>
      </c>
      <c r="R209" s="362">
        <f>IF(AQ209=1505,"",AQ209)</f>
        <v>709</v>
      </c>
      <c r="S209" s="362" t="str">
        <f>IF(AR209=0,"",AR209)</f>
        <v/>
      </c>
      <c r="T209" s="362">
        <f>IF(AS209=1505,"",AS209)</f>
        <v>778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700</v>
      </c>
      <c r="AD209" s="344"/>
      <c r="AE209" s="343">
        <f>SUM(AE205:AE208)</f>
        <v>739</v>
      </c>
      <c r="AF209" s="344"/>
      <c r="AG209" s="343">
        <f>SUM(AG205:AG208)</f>
        <v>686</v>
      </c>
      <c r="AH209" s="344"/>
      <c r="AI209" s="343">
        <f>SUM(AI205:AI208)</f>
        <v>668</v>
      </c>
      <c r="AJ209" s="344"/>
      <c r="AK209" s="343">
        <f>SUM(AK205:AK208)</f>
        <v>664</v>
      </c>
      <c r="AL209" s="344"/>
      <c r="AM209" s="343">
        <f>SUM(AM205:AM208)</f>
        <v>699</v>
      </c>
      <c r="AN209" s="344"/>
      <c r="AO209" s="343">
        <f>SUM(AO205:AO208)</f>
        <v>689</v>
      </c>
      <c r="AP209" s="344"/>
      <c r="AQ209" s="343">
        <f>SUM(AQ205:AQ208)</f>
        <v>709</v>
      </c>
      <c r="AR209" s="344"/>
      <c r="AS209" s="343">
        <f>SUM(AS205:AS208)</f>
        <v>778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12.10./13.10.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12.10./13.10.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3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5">
        <f>IF(AD217="","",AD217)</f>
        <v>0</v>
      </c>
      <c r="F217" s="75" t="str">
        <f t="shared" ref="F217:F230" si="257">IF(AE217=0,"",AE217)</f>
        <v/>
      </c>
      <c r="G217" s="345">
        <f>IF(AF217="","",AF217)</f>
        <v>1</v>
      </c>
      <c r="H217" s="75" t="str">
        <f t="shared" ref="H217:H230" si="258">IF(AG217=0,"",AG217)</f>
        <v/>
      </c>
      <c r="I217" s="345">
        <f>IF(AH217="","",AH217)</f>
        <v>0</v>
      </c>
      <c r="J217" s="75" t="str">
        <f t="shared" ref="J217:J230" si="259">IF(AI217=0,"",AI217)</f>
        <v/>
      </c>
      <c r="K217" s="345">
        <f>IF(AJ217="","",AJ217)</f>
        <v>1</v>
      </c>
      <c r="L217" s="75" t="str">
        <f t="shared" ref="L217:L230" si="260">IF(AK217=0,"",AK217)</f>
        <v/>
      </c>
      <c r="M217" s="345">
        <f>IF(AL217="","",AL217)</f>
        <v>1</v>
      </c>
      <c r="N217" s="75" t="str">
        <f>IF(AM217=0,"",AM217)</f>
        <v/>
      </c>
      <c r="O217" s="345">
        <f>IF(AN217="","",AN217)</f>
        <v>1</v>
      </c>
      <c r="P217" s="75" t="str">
        <f t="shared" ref="P217:P230" si="261">IF(AO217=0,"",AO217)</f>
        <v/>
      </c>
      <c r="Q217" s="345">
        <f>IF(AP217="","",AP217)</f>
        <v>0</v>
      </c>
      <c r="R217" s="75" t="str">
        <f t="shared" ref="R217:R230" si="262">IF(AQ217=0,"",AQ217)</f>
        <v/>
      </c>
      <c r="S217" s="345">
        <f>IF(AR217="","",AR217)</f>
        <v>1</v>
      </c>
      <c r="T217" s="75" t="str">
        <f t="shared" ref="T217:T230" si="263">IF(AS217=0,"",AS217)</f>
        <v/>
      </c>
      <c r="U217" s="345">
        <f>IF(AT217="","",AT217)</f>
        <v>0</v>
      </c>
      <c r="V217" s="75">
        <f t="shared" ref="V217:V230" si="264">IF(AU217=0,"",AU217)</f>
        <v>128</v>
      </c>
      <c r="W217" s="345">
        <f>IF(AV217="","",AV217)</f>
        <v>5</v>
      </c>
      <c r="Z217" s="348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4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6"/>
      <c r="F218" s="78">
        <f t="shared" si="257"/>
        <v>200</v>
      </c>
      <c r="G218" s="346"/>
      <c r="H218" s="78">
        <f t="shared" si="258"/>
        <v>157</v>
      </c>
      <c r="I218" s="346"/>
      <c r="J218" s="78">
        <f t="shared" si="259"/>
        <v>181</v>
      </c>
      <c r="K218" s="346"/>
      <c r="L218" s="78">
        <f t="shared" si="260"/>
        <v>206</v>
      </c>
      <c r="M218" s="346"/>
      <c r="N218" s="78">
        <f t="shared" ref="N218:N230" si="279">IF(AM218=0,"",AM218)</f>
        <v>203</v>
      </c>
      <c r="O218" s="346"/>
      <c r="P218" s="78">
        <f t="shared" si="261"/>
        <v>147</v>
      </c>
      <c r="Q218" s="346"/>
      <c r="R218" s="78">
        <f t="shared" si="262"/>
        <v>160</v>
      </c>
      <c r="S218" s="346"/>
      <c r="T218" s="78">
        <f t="shared" si="263"/>
        <v>180</v>
      </c>
      <c r="U218" s="346"/>
      <c r="V218" s="78">
        <f t="shared" si="264"/>
        <v>1434</v>
      </c>
      <c r="W218" s="346"/>
      <c r="Z218" s="349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5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7"/>
      <c r="F219" s="69" t="str">
        <f t="shared" si="257"/>
        <v/>
      </c>
      <c r="G219" s="347"/>
      <c r="H219" s="69" t="str">
        <f t="shared" si="258"/>
        <v/>
      </c>
      <c r="I219" s="347"/>
      <c r="J219" s="69" t="str">
        <f t="shared" si="259"/>
        <v/>
      </c>
      <c r="K219" s="347"/>
      <c r="L219" s="69" t="str">
        <f t="shared" si="260"/>
        <v/>
      </c>
      <c r="M219" s="347"/>
      <c r="N219" s="69" t="str">
        <f t="shared" si="279"/>
        <v/>
      </c>
      <c r="O219" s="347"/>
      <c r="P219" s="69" t="str">
        <f t="shared" si="261"/>
        <v/>
      </c>
      <c r="Q219" s="347"/>
      <c r="R219" s="69" t="str">
        <f t="shared" si="262"/>
        <v/>
      </c>
      <c r="S219" s="347"/>
      <c r="T219" s="69" t="str">
        <f t="shared" si="263"/>
        <v/>
      </c>
      <c r="U219" s="347"/>
      <c r="V219" s="69" t="str">
        <f t="shared" si="264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3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5">
        <f>IF(AD220="","",AD220)</f>
        <v>1</v>
      </c>
      <c r="F220" s="75">
        <f t="shared" si="257"/>
        <v>205</v>
      </c>
      <c r="G220" s="345">
        <f>IF(AF220="","",AF220)</f>
        <v>1</v>
      </c>
      <c r="H220" s="75">
        <f t="shared" si="258"/>
        <v>224</v>
      </c>
      <c r="I220" s="345">
        <f>IF(AH220="","",AH220)</f>
        <v>1</v>
      </c>
      <c r="J220" s="75">
        <f t="shared" si="259"/>
        <v>197</v>
      </c>
      <c r="K220" s="345">
        <f>IF(AJ220="","",AJ220)</f>
        <v>1</v>
      </c>
      <c r="L220" s="75">
        <f t="shared" si="260"/>
        <v>200</v>
      </c>
      <c r="M220" s="345">
        <f>IF(AL220="","",AL220)</f>
        <v>1</v>
      </c>
      <c r="N220" s="75">
        <f t="shared" si="279"/>
        <v>205</v>
      </c>
      <c r="O220" s="345">
        <f>IF(AN220="","",AN220)</f>
        <v>1</v>
      </c>
      <c r="P220" s="75">
        <f t="shared" si="261"/>
        <v>196</v>
      </c>
      <c r="Q220" s="345">
        <f>IF(AP220="","",AP220)</f>
        <v>1</v>
      </c>
      <c r="R220" s="75">
        <f t="shared" si="262"/>
        <v>202</v>
      </c>
      <c r="S220" s="345">
        <f>IF(AR220="","",AR220)</f>
        <v>1</v>
      </c>
      <c r="T220" s="75">
        <f t="shared" si="263"/>
        <v>236</v>
      </c>
      <c r="U220" s="345">
        <f>IF(AT220="","",AT220)</f>
        <v>1</v>
      </c>
      <c r="V220" s="75">
        <f t="shared" si="264"/>
        <v>1858</v>
      </c>
      <c r="W220" s="345">
        <f>IF(AV220="","",AV220)</f>
        <v>9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4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6"/>
      <c r="F221" s="78" t="str">
        <f t="shared" si="257"/>
        <v/>
      </c>
      <c r="G221" s="346"/>
      <c r="H221" s="78" t="str">
        <f t="shared" si="258"/>
        <v/>
      </c>
      <c r="I221" s="346"/>
      <c r="J221" s="78" t="str">
        <f t="shared" si="259"/>
        <v/>
      </c>
      <c r="K221" s="346"/>
      <c r="L221" s="78" t="str">
        <f t="shared" si="260"/>
        <v/>
      </c>
      <c r="M221" s="346"/>
      <c r="N221" s="78" t="str">
        <f t="shared" si="279"/>
        <v/>
      </c>
      <c r="O221" s="346"/>
      <c r="P221" s="78" t="str">
        <f t="shared" si="261"/>
        <v/>
      </c>
      <c r="Q221" s="346"/>
      <c r="R221" s="78" t="str">
        <f t="shared" si="262"/>
        <v/>
      </c>
      <c r="S221" s="346"/>
      <c r="T221" s="78" t="str">
        <f t="shared" si="263"/>
        <v/>
      </c>
      <c r="U221" s="346"/>
      <c r="V221" s="78" t="str">
        <f t="shared" si="264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5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7"/>
      <c r="F222" s="69" t="str">
        <f t="shared" si="257"/>
        <v/>
      </c>
      <c r="G222" s="347"/>
      <c r="H222" s="69" t="str">
        <f t="shared" si="258"/>
        <v/>
      </c>
      <c r="I222" s="347"/>
      <c r="J222" s="69" t="str">
        <f t="shared" si="259"/>
        <v/>
      </c>
      <c r="K222" s="347"/>
      <c r="L222" s="69" t="str">
        <f t="shared" si="260"/>
        <v/>
      </c>
      <c r="M222" s="347"/>
      <c r="N222" s="69" t="str">
        <f t="shared" si="279"/>
        <v/>
      </c>
      <c r="O222" s="347"/>
      <c r="P222" s="69" t="str">
        <f t="shared" si="261"/>
        <v/>
      </c>
      <c r="Q222" s="347"/>
      <c r="R222" s="69" t="str">
        <f t="shared" si="262"/>
        <v/>
      </c>
      <c r="S222" s="347"/>
      <c r="T222" s="69" t="str">
        <f t="shared" si="263"/>
        <v/>
      </c>
      <c r="U222" s="347"/>
      <c r="V222" s="69" t="str">
        <f t="shared" si="264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3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5">
        <f>IF(AD223="","",AD223)</f>
        <v>0</v>
      </c>
      <c r="F223" s="75">
        <f t="shared" si="257"/>
        <v>155</v>
      </c>
      <c r="G223" s="345">
        <f>IF(AF223="","",AF223)</f>
        <v>1</v>
      </c>
      <c r="H223" s="75">
        <f t="shared" si="258"/>
        <v>179</v>
      </c>
      <c r="I223" s="345">
        <f>IF(AH223="","",AH223)</f>
        <v>1</v>
      </c>
      <c r="J223" s="75">
        <f t="shared" si="259"/>
        <v>193</v>
      </c>
      <c r="K223" s="345">
        <f>IF(AJ223="","",AJ223)</f>
        <v>0</v>
      </c>
      <c r="L223" s="75">
        <f t="shared" si="260"/>
        <v>149</v>
      </c>
      <c r="M223" s="345">
        <f>IF(AL223="","",AL223)</f>
        <v>0</v>
      </c>
      <c r="N223" s="75" t="str">
        <f t="shared" si="279"/>
        <v/>
      </c>
      <c r="O223" s="345">
        <f>IF(AN223="","",AN223)</f>
        <v>1</v>
      </c>
      <c r="P223" s="75" t="str">
        <f t="shared" si="261"/>
        <v/>
      </c>
      <c r="Q223" s="345">
        <f>IF(AP223="","",AP223)</f>
        <v>1</v>
      </c>
      <c r="R223" s="75" t="str">
        <f t="shared" si="262"/>
        <v/>
      </c>
      <c r="S223" s="345">
        <f>IF(AR223="","",AR223)</f>
        <v>0</v>
      </c>
      <c r="T223" s="75" t="str">
        <f t="shared" si="263"/>
        <v/>
      </c>
      <c r="U223" s="345">
        <f>IF(AT223="","",AT223)</f>
        <v>0</v>
      </c>
      <c r="V223" s="75">
        <f t="shared" si="264"/>
        <v>865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4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6"/>
      <c r="F224" s="78" t="str">
        <f t="shared" si="257"/>
        <v/>
      </c>
      <c r="G224" s="346"/>
      <c r="H224" s="78" t="str">
        <f t="shared" si="258"/>
        <v/>
      </c>
      <c r="I224" s="346"/>
      <c r="J224" s="78" t="str">
        <f t="shared" si="259"/>
        <v/>
      </c>
      <c r="K224" s="346"/>
      <c r="L224" s="78" t="str">
        <f t="shared" si="260"/>
        <v/>
      </c>
      <c r="M224" s="346"/>
      <c r="N224" s="78">
        <f t="shared" si="279"/>
        <v>193</v>
      </c>
      <c r="O224" s="346"/>
      <c r="P224" s="78">
        <f t="shared" si="261"/>
        <v>201</v>
      </c>
      <c r="Q224" s="346"/>
      <c r="R224" s="78">
        <f t="shared" si="262"/>
        <v>191</v>
      </c>
      <c r="S224" s="346"/>
      <c r="T224" s="78">
        <f t="shared" si="263"/>
        <v>172</v>
      </c>
      <c r="U224" s="346"/>
      <c r="V224" s="78">
        <f t="shared" si="264"/>
        <v>757</v>
      </c>
      <c r="W224" s="346"/>
      <c r="Z224" s="349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5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7"/>
      <c r="F225" s="69" t="str">
        <f t="shared" si="257"/>
        <v/>
      </c>
      <c r="G225" s="347"/>
      <c r="H225" s="69" t="str">
        <f t="shared" si="258"/>
        <v/>
      </c>
      <c r="I225" s="347"/>
      <c r="J225" s="69" t="str">
        <f t="shared" si="259"/>
        <v/>
      </c>
      <c r="K225" s="347"/>
      <c r="L225" s="69" t="str">
        <f t="shared" si="260"/>
        <v/>
      </c>
      <c r="M225" s="347"/>
      <c r="N225" s="69" t="str">
        <f t="shared" si="279"/>
        <v/>
      </c>
      <c r="O225" s="347"/>
      <c r="P225" s="69" t="str">
        <f t="shared" si="261"/>
        <v/>
      </c>
      <c r="Q225" s="347"/>
      <c r="R225" s="69" t="str">
        <f t="shared" si="262"/>
        <v/>
      </c>
      <c r="S225" s="347"/>
      <c r="T225" s="69" t="str">
        <f t="shared" si="263"/>
        <v/>
      </c>
      <c r="U225" s="347"/>
      <c r="V225" s="69" t="str">
        <f t="shared" si="264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3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5">
        <f>IF(AD226="","",AD226)</f>
        <v>1</v>
      </c>
      <c r="F226" s="75">
        <f t="shared" si="257"/>
        <v>210</v>
      </c>
      <c r="G226" s="345">
        <f>IF(AF226="","",AF226)</f>
        <v>1</v>
      </c>
      <c r="H226" s="75">
        <f t="shared" si="258"/>
        <v>181</v>
      </c>
      <c r="I226" s="345">
        <f>IF(AH226="","",AH226)</f>
        <v>1</v>
      </c>
      <c r="J226" s="75">
        <f t="shared" si="259"/>
        <v>184</v>
      </c>
      <c r="K226" s="345">
        <f>IF(AJ226="","",AJ226)</f>
        <v>0</v>
      </c>
      <c r="L226" s="75">
        <f t="shared" si="260"/>
        <v>168</v>
      </c>
      <c r="M226" s="345">
        <f>IF(AL226="","",AL226)</f>
        <v>1</v>
      </c>
      <c r="N226" s="75">
        <f t="shared" si="279"/>
        <v>209</v>
      </c>
      <c r="O226" s="345">
        <f>IF(AN226="","",AN226)</f>
        <v>1</v>
      </c>
      <c r="P226" s="75">
        <f t="shared" si="261"/>
        <v>220</v>
      </c>
      <c r="Q226" s="345">
        <f>IF(AP226="","",AP226)</f>
        <v>1</v>
      </c>
      <c r="R226" s="75">
        <f t="shared" si="262"/>
        <v>156</v>
      </c>
      <c r="S226" s="345">
        <f>IF(AR226="","",AR226)</f>
        <v>0</v>
      </c>
      <c r="T226" s="75">
        <f t="shared" si="263"/>
        <v>179</v>
      </c>
      <c r="U226" s="345">
        <f>IF(AT226="","",AT226)</f>
        <v>0</v>
      </c>
      <c r="V226" s="75">
        <f t="shared" si="264"/>
        <v>1715</v>
      </c>
      <c r="W226" s="345">
        <f>IF(AV226="","",AV226)</f>
        <v>6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4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6"/>
      <c r="F227" s="78" t="str">
        <f t="shared" si="257"/>
        <v/>
      </c>
      <c r="G227" s="346"/>
      <c r="H227" s="78" t="str">
        <f t="shared" si="258"/>
        <v/>
      </c>
      <c r="I227" s="346"/>
      <c r="J227" s="78" t="str">
        <f t="shared" si="259"/>
        <v/>
      </c>
      <c r="K227" s="346"/>
      <c r="L227" s="78" t="str">
        <f t="shared" si="260"/>
        <v/>
      </c>
      <c r="M227" s="346"/>
      <c r="N227" s="78" t="str">
        <f t="shared" si="279"/>
        <v/>
      </c>
      <c r="O227" s="346"/>
      <c r="P227" s="78" t="str">
        <f t="shared" si="261"/>
        <v/>
      </c>
      <c r="Q227" s="346"/>
      <c r="R227" s="78" t="str">
        <f t="shared" si="262"/>
        <v/>
      </c>
      <c r="S227" s="346"/>
      <c r="T227" s="78" t="str">
        <f t="shared" si="263"/>
        <v/>
      </c>
      <c r="U227" s="346"/>
      <c r="V227" s="78" t="str">
        <f t="shared" si="264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5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7"/>
      <c r="F228" s="69" t="str">
        <f t="shared" si="257"/>
        <v/>
      </c>
      <c r="G228" s="347"/>
      <c r="H228" s="69" t="str">
        <f t="shared" si="258"/>
        <v/>
      </c>
      <c r="I228" s="347"/>
      <c r="J228" s="69" t="str">
        <f t="shared" si="259"/>
        <v/>
      </c>
      <c r="K228" s="347"/>
      <c r="L228" s="69" t="str">
        <f t="shared" si="260"/>
        <v/>
      </c>
      <c r="M228" s="347"/>
      <c r="N228" s="69" t="str">
        <f t="shared" si="279"/>
        <v/>
      </c>
      <c r="O228" s="347"/>
      <c r="P228" s="69" t="str">
        <f t="shared" si="261"/>
        <v/>
      </c>
      <c r="Q228" s="347"/>
      <c r="R228" s="69" t="str">
        <f t="shared" si="262"/>
        <v/>
      </c>
      <c r="S228" s="347"/>
      <c r="T228" s="69" t="str">
        <f t="shared" si="263"/>
        <v/>
      </c>
      <c r="U228" s="347"/>
      <c r="V228" s="69" t="str">
        <f t="shared" si="264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3">
        <f t="shared" ref="D232:M234" si="292">IF(AC232=0,"",AC232)</f>
        <v>10</v>
      </c>
      <c r="E232" s="353" t="str">
        <f t="shared" si="292"/>
        <v/>
      </c>
      <c r="F232" s="353">
        <f t="shared" si="292"/>
        <v>5</v>
      </c>
      <c r="G232" s="353" t="str">
        <f t="shared" si="292"/>
        <v/>
      </c>
      <c r="H232" s="353">
        <f t="shared" si="292"/>
        <v>2</v>
      </c>
      <c r="I232" s="353" t="str">
        <f t="shared" si="292"/>
        <v/>
      </c>
      <c r="J232" s="353">
        <f t="shared" si="292"/>
        <v>6</v>
      </c>
      <c r="K232" s="353" t="str">
        <f t="shared" si="292"/>
        <v/>
      </c>
      <c r="L232" s="353">
        <f t="shared" si="292"/>
        <v>9</v>
      </c>
      <c r="M232" s="353" t="str">
        <f t="shared" si="292"/>
        <v/>
      </c>
      <c r="N232" s="353">
        <f t="shared" ref="N232:U234" si="293">IF(AM232=0,"",AM232)</f>
        <v>4</v>
      </c>
      <c r="O232" s="353" t="str">
        <f t="shared" si="293"/>
        <v/>
      </c>
      <c r="P232" s="353">
        <f t="shared" si="293"/>
        <v>3</v>
      </c>
      <c r="Q232" s="353" t="str">
        <f t="shared" si="293"/>
        <v/>
      </c>
      <c r="R232" s="353">
        <f t="shared" si="293"/>
        <v>7</v>
      </c>
      <c r="S232" s="353" t="str">
        <f t="shared" si="293"/>
        <v/>
      </c>
      <c r="T232" s="353">
        <f t="shared" si="293"/>
        <v>1</v>
      </c>
      <c r="U232" s="353" t="str">
        <f t="shared" si="293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VLOOKUP($AA212,Schlüssel!$A$5:$K$14,3)</f>
        <v>10</v>
      </c>
      <c r="AD232" s="368"/>
      <c r="AE232" s="367">
        <f>VLOOKUP($AA212,Schlüssel!$A$5:$K$14,4)</f>
        <v>5</v>
      </c>
      <c r="AF232" s="368"/>
      <c r="AG232" s="367">
        <f>VLOOKUP($AA212,Schlüssel!$A$5:$K$14,5)</f>
        <v>2</v>
      </c>
      <c r="AH232" s="368"/>
      <c r="AI232" s="367">
        <f>VLOOKUP($AA212,Schlüssel!$A$5:$K$14,6)</f>
        <v>6</v>
      </c>
      <c r="AJ232" s="368"/>
      <c r="AK232" s="367">
        <f>VLOOKUP($AA212,Schlüssel!$A$5:$K$14,7)</f>
        <v>9</v>
      </c>
      <c r="AL232" s="368"/>
      <c r="AM232" s="367">
        <f>VLOOKUP($AA212,Schlüssel!$A$5:$K$14,8)</f>
        <v>4</v>
      </c>
      <c r="AN232" s="368"/>
      <c r="AO232" s="367">
        <f>VLOOKUP($AA212,Schlüssel!$A$5:$K$14,9)</f>
        <v>3</v>
      </c>
      <c r="AP232" s="368"/>
      <c r="AQ232" s="367">
        <f>VLOOKUP($AA212,Schlüssel!$A$5:$K$14,10)</f>
        <v>7</v>
      </c>
      <c r="AR232" s="368"/>
      <c r="AS232" s="367">
        <f>VLOOKUP($AA212,Schlüssel!$A$5:$K$14,11)</f>
        <v>1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5" t="str">
        <f t="shared" si="292"/>
        <v>BK München 4</v>
      </c>
      <c r="E233" s="356" t="str">
        <f t="shared" si="292"/>
        <v/>
      </c>
      <c r="F233" s="355" t="str">
        <f t="shared" si="292"/>
        <v xml:space="preserve">Weiß Blau Unterföhring </v>
      </c>
      <c r="G233" s="356" t="str">
        <f t="shared" si="292"/>
        <v/>
      </c>
      <c r="H233" s="355" t="str">
        <f t="shared" si="292"/>
        <v>BK München 2</v>
      </c>
      <c r="I233" s="356" t="str">
        <f t="shared" si="292"/>
        <v/>
      </c>
      <c r="J233" s="355" t="str">
        <f t="shared" si="292"/>
        <v>Phönix 03 Lauf</v>
      </c>
      <c r="K233" s="356" t="str">
        <f t="shared" si="292"/>
        <v/>
      </c>
      <c r="L233" s="355" t="str">
        <f t="shared" si="292"/>
        <v>RW Lichtenhof 69 Stein 2</v>
      </c>
      <c r="M233" s="356" t="str">
        <f t="shared" si="292"/>
        <v/>
      </c>
      <c r="N233" s="355" t="str">
        <f t="shared" si="293"/>
        <v>BK München 3</v>
      </c>
      <c r="O233" s="356" t="str">
        <f t="shared" si="293"/>
        <v/>
      </c>
      <c r="P233" s="355" t="str">
        <f t="shared" si="293"/>
        <v>Highroller Rosenheim</v>
      </c>
      <c r="Q233" s="356" t="str">
        <f t="shared" si="293"/>
        <v/>
      </c>
      <c r="R233" s="355" t="str">
        <f t="shared" si="293"/>
        <v>Frankenpower Nürnberg</v>
      </c>
      <c r="S233" s="356" t="str">
        <f t="shared" si="293"/>
        <v/>
      </c>
      <c r="T233" s="355" t="str">
        <f t="shared" si="293"/>
        <v>Praetoria Regensburg</v>
      </c>
      <c r="U233" s="356" t="str">
        <f t="shared" si="293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 xml:space="preserve">Weiß Blau Unterföhring 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BK München 3</v>
      </c>
      <c r="AN233" s="356"/>
      <c r="AO233" s="355" t="str">
        <f>VLOOKUP(AO232,Schlüssel!$A$5:$K$14,2)</f>
        <v>Highroller Rosenheim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Praetoria Regensburg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7" t="str">
        <f t="shared" si="292"/>
        <v/>
      </c>
      <c r="E234" s="357" t="str">
        <f t="shared" si="292"/>
        <v/>
      </c>
      <c r="F234" s="357" t="str">
        <f t="shared" si="292"/>
        <v/>
      </c>
      <c r="G234" s="357" t="str">
        <f t="shared" si="292"/>
        <v/>
      </c>
      <c r="H234" s="357" t="str">
        <f t="shared" si="292"/>
        <v/>
      </c>
      <c r="I234" s="357" t="str">
        <f t="shared" si="292"/>
        <v/>
      </c>
      <c r="J234" s="357" t="str">
        <f t="shared" si="292"/>
        <v/>
      </c>
      <c r="K234" s="357" t="str">
        <f t="shared" si="292"/>
        <v/>
      </c>
      <c r="L234" s="357" t="str">
        <f t="shared" si="292"/>
        <v/>
      </c>
      <c r="M234" s="357" t="str">
        <f t="shared" si="292"/>
        <v/>
      </c>
      <c r="N234" s="357" t="str">
        <f t="shared" si="293"/>
        <v/>
      </c>
      <c r="O234" s="357" t="str">
        <f t="shared" si="293"/>
        <v/>
      </c>
      <c r="P234" s="357" t="str">
        <f t="shared" si="293"/>
        <v/>
      </c>
      <c r="Q234" s="357" t="str">
        <f t="shared" si="293"/>
        <v/>
      </c>
      <c r="R234" s="357" t="str">
        <f t="shared" si="293"/>
        <v/>
      </c>
      <c r="S234" s="357" t="str">
        <f t="shared" si="293"/>
        <v/>
      </c>
      <c r="T234" s="357" t="str">
        <f t="shared" si="293"/>
        <v/>
      </c>
      <c r="U234" s="358" t="str">
        <f t="shared" si="293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si="290"/>
        <v>Spieler 1</v>
      </c>
      <c r="C235" s="372" t="str">
        <f t="shared" si="291"/>
        <v/>
      </c>
      <c r="D235" s="359">
        <f>IF(AC235=301,"",AC235)</f>
        <v>136</v>
      </c>
      <c r="E235" s="359" t="str">
        <f>IF(AD235=0,"",AD235)</f>
        <v/>
      </c>
      <c r="F235" s="359">
        <f>IF(AE235=301,"",AE235)</f>
        <v>192</v>
      </c>
      <c r="G235" s="359" t="str">
        <f>IF(AF235=0,"",AF235)</f>
        <v/>
      </c>
      <c r="H235" s="359">
        <f>IF(AG235=301,"",AG235)</f>
        <v>201</v>
      </c>
      <c r="I235" s="359" t="str">
        <f>IF(AH235=0,"",AH235)</f>
        <v/>
      </c>
      <c r="J235" s="359">
        <f>IF(AI235=301,"",AI235)</f>
        <v>158</v>
      </c>
      <c r="K235" s="359" t="str">
        <f>IF(AJ235=0,"",AJ235)</f>
        <v/>
      </c>
      <c r="L235" s="359">
        <f>IF(AK235=301,"",AK235)</f>
        <v>164</v>
      </c>
      <c r="M235" s="359" t="str">
        <f>IF(AL235=0,"",AL235)</f>
        <v/>
      </c>
      <c r="N235" s="359">
        <f>IF(AM235=301,"",AM235)</f>
        <v>135</v>
      </c>
      <c r="O235" s="359" t="str">
        <f>IF(AN235=0,"",AN235)</f>
        <v/>
      </c>
      <c r="P235" s="359">
        <f>IF(AO235=301,"",AO235)</f>
        <v>176</v>
      </c>
      <c r="Q235" s="359" t="str">
        <f>IF(AP235=0,"",AP235)</f>
        <v/>
      </c>
      <c r="R235" s="359">
        <f>IF(AQ235=301,"",AQ235)</f>
        <v>139</v>
      </c>
      <c r="S235" s="359" t="str">
        <f>IF(AR235=0,"",AR235)</f>
        <v/>
      </c>
      <c r="T235" s="359">
        <f>IF(AS235=301,"",AS235)</f>
        <v>190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136</v>
      </c>
      <c r="AD235" s="366"/>
      <c r="AE235" s="365">
        <f>ABS(INDEX(AE:AE,MATCH(AE232,$AA:$AA,0)+5)+INDEX(AE:AE,MATCH(AE232,$AA:$AA,0)+6)+INDEX(AE:AE,MATCH(AE232,$AA:$AA,0)+7))</f>
        <v>192</v>
      </c>
      <c r="AF235" s="366"/>
      <c r="AG235" s="365">
        <f>ABS(INDEX(AG:AG,MATCH(AG232,$AA:$AA,0)+5)+INDEX(AG:AG,MATCH(AG232,$AA:$AA,0)+6)+INDEX(AG:AG,MATCH(AG232,$AA:$AA,0)+7))</f>
        <v>201</v>
      </c>
      <c r="AH235" s="366"/>
      <c r="AI235" s="365">
        <f>ABS(INDEX(AI:AI,MATCH(AI232,$AA:$AA,0)+5)+INDEX(AI:AI,MATCH(AI232,$AA:$AA,0)+6)+INDEX(AI:AI,MATCH(AI232,$AA:$AA,0)+7))</f>
        <v>158</v>
      </c>
      <c r="AJ235" s="366"/>
      <c r="AK235" s="365">
        <f>ABS(INDEX(AK:AK,MATCH(AK232,$AA:$AA,0)+5)+INDEX(AK:AK,MATCH(AK232,$AA:$AA,0)+6)+INDEX(AK:AK,MATCH(AK232,$AA:$AA,0)+7))</f>
        <v>164</v>
      </c>
      <c r="AL235" s="366"/>
      <c r="AM235" s="365">
        <f>ABS(INDEX(AM:AM,MATCH(AM232,$AA:$AA,0)+5)+INDEX(AM:AM,MATCH(AM232,$AA:$AA,0)+6)+INDEX(AM:AM,MATCH(AM232,$AA:$AA,0)+7))</f>
        <v>135</v>
      </c>
      <c r="AN235" s="366"/>
      <c r="AO235" s="365">
        <f>ABS(INDEX(AO:AO,MATCH(AO232,$AA:$AA,0)+5)+INDEX(AO:AO,MATCH(AO232,$AA:$AA,0)+6)+INDEX(AO:AO,MATCH(AO232,$AA:$AA,0)+7))</f>
        <v>176</v>
      </c>
      <c r="AP235" s="366"/>
      <c r="AQ235" s="365">
        <f>ABS(INDEX(AQ:AQ,MATCH(AQ232,$AA:$AA,0)+5)+INDEX(AQ:AQ,MATCH(AQ232,$AA:$AA,0)+6)+INDEX(AQ:AQ,MATCH(AQ232,$AA:$AA,0)+7))</f>
        <v>139</v>
      </c>
      <c r="AR235" s="366"/>
      <c r="AS235" s="365">
        <f>ABS(INDEX(AS:AS,MATCH(AS232,$AA:$AA,0)+5)+INDEX(AS:AS,MATCH(AS232,$AA:$AA,0)+6)+INDEX(AS:AS,MATCH(AS232,$AA:$AA,0)+7))</f>
        <v>190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90"/>
        <v>Spieler 2</v>
      </c>
      <c r="C236" s="372" t="str">
        <f t="shared" si="291"/>
        <v/>
      </c>
      <c r="D236" s="359">
        <f>IF(AC236=301,"",AC236)</f>
        <v>192</v>
      </c>
      <c r="E236" s="359" t="str">
        <f>IF(AD236=0,"",AD236)</f>
        <v/>
      </c>
      <c r="F236" s="359">
        <f>IF(AE236=301,"",AE236)</f>
        <v>177</v>
      </c>
      <c r="G236" s="359" t="str">
        <f>IF(AF236=0,"",AF236)</f>
        <v/>
      </c>
      <c r="H236" s="359">
        <f>IF(AG236=301,"",AG236)</f>
        <v>181</v>
      </c>
      <c r="I236" s="359" t="str">
        <f>IF(AH236=0,"",AH236)</f>
        <v/>
      </c>
      <c r="J236" s="359">
        <f>IF(AI236=301,"",AI236)</f>
        <v>184</v>
      </c>
      <c r="K236" s="359" t="str">
        <f>IF(AJ236=0,"",AJ236)</f>
        <v/>
      </c>
      <c r="L236" s="359">
        <f>IF(AK236=301,"",AK236)</f>
        <v>184</v>
      </c>
      <c r="M236" s="359" t="str">
        <f>IF(AL236=0,"",AL236)</f>
        <v/>
      </c>
      <c r="N236" s="359">
        <f>IF(AM236=301,"",AM236)</f>
        <v>152</v>
      </c>
      <c r="O236" s="359" t="str">
        <f>IF(AN236=0,"",AN236)</f>
        <v/>
      </c>
      <c r="P236" s="359">
        <f>IF(AO236=301,"",AO236)</f>
        <v>171</v>
      </c>
      <c r="Q236" s="359" t="str">
        <f>IF(AP236=0,"",AP236)</f>
        <v/>
      </c>
      <c r="R236" s="359">
        <f>IF(AQ236=301,"",AQ236)</f>
        <v>182</v>
      </c>
      <c r="S236" s="359" t="str">
        <f>IF(AR236=0,"",AR236)</f>
        <v/>
      </c>
      <c r="T236" s="359">
        <f>IF(AS236=301,"",AS236)</f>
        <v>157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192</v>
      </c>
      <c r="AD236" s="364"/>
      <c r="AE236" s="363">
        <f>ABS(INDEX(AE:AE,MATCH(AE232,$AA:$AA,0)+8)+INDEX(AE:AE,MATCH(AE232,$AA:$AA,0)+9)+INDEX(AE:AE,MATCH(AE232,$AA:$AA,0)+10))</f>
        <v>177</v>
      </c>
      <c r="AF236" s="364"/>
      <c r="AG236" s="363">
        <f>ABS(INDEX(AG:AG,MATCH(AG232,$AA:$AA,0)+8)+INDEX(AG:AG,MATCH(AG232,$AA:$AA,0)+9)+INDEX(AG:AG,MATCH(AG232,$AA:$AA,0)+10))</f>
        <v>181</v>
      </c>
      <c r="AH236" s="364"/>
      <c r="AI236" s="363">
        <f>ABS(INDEX(AI:AI,MATCH(AI232,$AA:$AA,0)+8)+INDEX(AI:AI,MATCH(AI232,$AA:$AA,0)+9)+INDEX(AI:AI,MATCH(AI232,$AA:$AA,0)+10))</f>
        <v>184</v>
      </c>
      <c r="AJ236" s="364"/>
      <c r="AK236" s="363">
        <f>ABS(INDEX(AK:AK,MATCH(AK232,$AA:$AA,0)+8)+INDEX(AK:AK,MATCH(AK232,$AA:$AA,0)+9)+INDEX(AK:AK,MATCH(AK232,$AA:$AA,0)+10))</f>
        <v>184</v>
      </c>
      <c r="AL236" s="364"/>
      <c r="AM236" s="363">
        <f>ABS(INDEX(AM:AM,MATCH(AM232,$AA:$AA,0)+8)+INDEX(AM:AM,MATCH(AM232,$AA:$AA,0)+9)+INDEX(AM:AM,MATCH(AM232,$AA:$AA,0)+10))</f>
        <v>152</v>
      </c>
      <c r="AN236" s="364"/>
      <c r="AO236" s="363">
        <f>ABS(INDEX(AO:AO,MATCH(AO232,$AA:$AA,0)+8)+INDEX(AO:AO,MATCH(AO232,$AA:$AA,0)+9)+INDEX(AO:AO,MATCH(AO232,$AA:$AA,0)+10))</f>
        <v>171</v>
      </c>
      <c r="AP236" s="364"/>
      <c r="AQ236" s="363">
        <f>ABS(INDEX(AQ:AQ,MATCH(AQ232,$AA:$AA,0)+8)+INDEX(AQ:AQ,MATCH(AQ232,$AA:$AA,0)+9)+INDEX(AQ:AQ,MATCH(AQ232,$AA:$AA,0)+10))</f>
        <v>182</v>
      </c>
      <c r="AR236" s="364"/>
      <c r="AS236" s="363">
        <f>ABS(INDEX(AS:AS,MATCH(AS232,$AA:$AA,0)+8)+INDEX(AS:AS,MATCH(AS232,$AA:$AA,0)+9)+INDEX(AS:AS,MATCH(AS232,$AA:$AA,0)+10))</f>
        <v>157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90"/>
        <v>Spieler 3</v>
      </c>
      <c r="C237" s="372" t="str">
        <f t="shared" si="291"/>
        <v/>
      </c>
      <c r="D237" s="359">
        <f>IF(AC237=301,"",AC237)</f>
        <v>212</v>
      </c>
      <c r="E237" s="359" t="str">
        <f>IF(AD237=0,"",AD237)</f>
        <v/>
      </c>
      <c r="F237" s="359">
        <f>IF(AE237=301,"",AE237)</f>
        <v>141</v>
      </c>
      <c r="G237" s="359" t="str">
        <f>IF(AF237=0,"",AF237)</f>
        <v/>
      </c>
      <c r="H237" s="359">
        <f>IF(AG237=301,"",AG237)</f>
        <v>162</v>
      </c>
      <c r="I237" s="359" t="str">
        <f>IF(AH237=0,"",AH237)</f>
        <v/>
      </c>
      <c r="J237" s="359">
        <f>IF(AI237=301,"",AI237)</f>
        <v>206</v>
      </c>
      <c r="K237" s="359" t="str">
        <f>IF(AJ237=0,"",AJ237)</f>
        <v/>
      </c>
      <c r="L237" s="359">
        <f>IF(AK237=301,"",AK237)</f>
        <v>154</v>
      </c>
      <c r="M237" s="359" t="str">
        <f>IF(AL237=0,"",AL237)</f>
        <v/>
      </c>
      <c r="N237" s="359">
        <f>IF(AM237=301,"",AM237)</f>
        <v>150</v>
      </c>
      <c r="O237" s="359" t="str">
        <f>IF(AN237=0,"",AN237)</f>
        <v/>
      </c>
      <c r="P237" s="359">
        <f>IF(AO237=301,"",AO237)</f>
        <v>127</v>
      </c>
      <c r="Q237" s="359" t="str">
        <f>IF(AP237=0,"",AP237)</f>
        <v/>
      </c>
      <c r="R237" s="359">
        <f>IF(AQ237=301,"",AQ237)</f>
        <v>200</v>
      </c>
      <c r="S237" s="359" t="str">
        <f>IF(AR237=0,"",AR237)</f>
        <v/>
      </c>
      <c r="T237" s="359">
        <f>IF(AS237=301,"",AS237)</f>
        <v>194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212</v>
      </c>
      <c r="AD237" s="364"/>
      <c r="AE237" s="363">
        <f>ABS(INDEX(AE:AE,MATCH(AE232,$AA:$AA,0)+11)+INDEX(AE:AE,MATCH(AE232,$AA:$AA,0)+12)+INDEX(AE:AE,MATCH(AE232,$AA:$AA,0)+13))</f>
        <v>141</v>
      </c>
      <c r="AF237" s="364"/>
      <c r="AG237" s="363">
        <f>ABS(INDEX(AG:AG,MATCH(AG232,$AA:$AA,0)+11)+INDEX(AG:AG,MATCH(AG232,$AA:$AA,0)+12)+INDEX(AG:AG,MATCH(AG232,$AA:$AA,0)+13))</f>
        <v>162</v>
      </c>
      <c r="AH237" s="364"/>
      <c r="AI237" s="363">
        <f>ABS(INDEX(AI:AI,MATCH(AI232,$AA:$AA,0)+11)+INDEX(AI:AI,MATCH(AI232,$AA:$AA,0)+12)+INDEX(AI:AI,MATCH(AI232,$AA:$AA,0)+13))</f>
        <v>206</v>
      </c>
      <c r="AJ237" s="364"/>
      <c r="AK237" s="363">
        <f>ABS(INDEX(AK:AK,MATCH(AK232,$AA:$AA,0)+11)+INDEX(AK:AK,MATCH(AK232,$AA:$AA,0)+12)+INDEX(AK:AK,MATCH(AK232,$AA:$AA,0)+13))</f>
        <v>154</v>
      </c>
      <c r="AL237" s="364"/>
      <c r="AM237" s="363">
        <f>ABS(INDEX(AM:AM,MATCH(AM232,$AA:$AA,0)+11)+INDEX(AM:AM,MATCH(AM232,$AA:$AA,0)+12)+INDEX(AM:AM,MATCH(AM232,$AA:$AA,0)+13))</f>
        <v>150</v>
      </c>
      <c r="AN237" s="364"/>
      <c r="AO237" s="363">
        <f>ABS(INDEX(AO:AO,MATCH(AO232,$AA:$AA,0)+11)+INDEX(AO:AO,MATCH(AO232,$AA:$AA,0)+12)+INDEX(AO:AO,MATCH(AO232,$AA:$AA,0)+13))</f>
        <v>127</v>
      </c>
      <c r="AP237" s="364"/>
      <c r="AQ237" s="363">
        <f>ABS(INDEX(AQ:AQ,MATCH(AQ232,$AA:$AA,0)+11)+INDEX(AQ:AQ,MATCH(AQ232,$AA:$AA,0)+12)+INDEX(AQ:AQ,MATCH(AQ232,$AA:$AA,0)+13))</f>
        <v>200</v>
      </c>
      <c r="AR237" s="364"/>
      <c r="AS237" s="363">
        <f>ABS(INDEX(AS:AS,MATCH(AS232,$AA:$AA,0)+11)+INDEX(AS:AS,MATCH(AS232,$AA:$AA,0)+12)+INDEX(AS:AS,MATCH(AS232,$AA:$AA,0)+13))</f>
        <v>194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90"/>
        <v>Spieler 4</v>
      </c>
      <c r="C238" s="372" t="str">
        <f t="shared" si="291"/>
        <v/>
      </c>
      <c r="D238" s="359">
        <f>IF(AC238=301,"",AC238)</f>
        <v>203</v>
      </c>
      <c r="E238" s="359" t="str">
        <f>IF(AD238=0,"",AD238)</f>
        <v/>
      </c>
      <c r="F238" s="359">
        <f>IF(AE238=301,"",AE238)</f>
        <v>189</v>
      </c>
      <c r="G238" s="359" t="str">
        <f>IF(AF238=0,"",AF238)</f>
        <v/>
      </c>
      <c r="H238" s="359">
        <f>IF(AG238=301,"",AG238)</f>
        <v>147</v>
      </c>
      <c r="I238" s="359" t="str">
        <f>IF(AH238=0,"",AH238)</f>
        <v/>
      </c>
      <c r="J238" s="359">
        <f>IF(AI238=301,"",AI238)</f>
        <v>236</v>
      </c>
      <c r="K238" s="359" t="str">
        <f>IF(AJ238=0,"",AJ238)</f>
        <v/>
      </c>
      <c r="L238" s="359">
        <f>IF(AK238=301,"",AK238)</f>
        <v>134</v>
      </c>
      <c r="M238" s="359" t="str">
        <f>IF(AL238=0,"",AL238)</f>
        <v/>
      </c>
      <c r="N238" s="359">
        <f>IF(AM238=301,"",AM238)</f>
        <v>158</v>
      </c>
      <c r="O238" s="359" t="str">
        <f>IF(AN238=0,"",AN238)</f>
        <v/>
      </c>
      <c r="P238" s="359">
        <f>IF(AO238=301,"",AO238)</f>
        <v>170</v>
      </c>
      <c r="Q238" s="359" t="str">
        <f>IF(AP238=0,"",AP238)</f>
        <v/>
      </c>
      <c r="R238" s="359">
        <f>IF(AQ238=301,"",AQ238)</f>
        <v>181</v>
      </c>
      <c r="S238" s="359" t="str">
        <f>IF(AR238=0,"",AR238)</f>
        <v/>
      </c>
      <c r="T238" s="359">
        <f>IF(AS238=301,"",AS238)</f>
        <v>180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203</v>
      </c>
      <c r="AD238" s="364"/>
      <c r="AE238" s="363">
        <f>ABS(INDEX(AE:AE,MATCH(AE232,$AA:$AA,0)+14)+INDEX(AE:AE,MATCH(AE232,$AA:$AA,0)+15)+INDEX(AE:AE,MATCH(AE232,$AA:$AA,0)+16))</f>
        <v>189</v>
      </c>
      <c r="AF238" s="364"/>
      <c r="AG238" s="363">
        <f>ABS(INDEX(AG:AG,MATCH(AG232,$AA:$AA,0)+14)+INDEX(AG:AG,MATCH(AG232,$AA:$AA,0)+15)+INDEX(AG:AG,MATCH(AG232,$AA:$AA,0)+16))</f>
        <v>147</v>
      </c>
      <c r="AH238" s="364"/>
      <c r="AI238" s="363">
        <f>ABS(INDEX(AI:AI,MATCH(AI232,$AA:$AA,0)+14)+INDEX(AI:AI,MATCH(AI232,$AA:$AA,0)+15)+INDEX(AI:AI,MATCH(AI232,$AA:$AA,0)+16))</f>
        <v>236</v>
      </c>
      <c r="AJ238" s="364"/>
      <c r="AK238" s="363">
        <f>ABS(INDEX(AK:AK,MATCH(AK232,$AA:$AA,0)+14)+INDEX(AK:AK,MATCH(AK232,$AA:$AA,0)+15)+INDEX(AK:AK,MATCH(AK232,$AA:$AA,0)+16))</f>
        <v>134</v>
      </c>
      <c r="AL238" s="364"/>
      <c r="AM238" s="363">
        <f>ABS(INDEX(AM:AM,MATCH(AM232,$AA:$AA,0)+14)+INDEX(AM:AM,MATCH(AM232,$AA:$AA,0)+15)+INDEX(AM:AM,MATCH(AM232,$AA:$AA,0)+16))</f>
        <v>158</v>
      </c>
      <c r="AN238" s="364"/>
      <c r="AO238" s="363">
        <f>ABS(INDEX(AO:AO,MATCH(AO232,$AA:$AA,0)+14)+INDEX(AO:AO,MATCH(AO232,$AA:$AA,0)+15)+INDEX(AO:AO,MATCH(AO232,$AA:$AA,0)+16))</f>
        <v>170</v>
      </c>
      <c r="AP238" s="364"/>
      <c r="AQ238" s="363">
        <f>ABS(INDEX(AQ:AQ,MATCH(AQ232,$AA:$AA,0)+14)+INDEX(AQ:AQ,MATCH(AQ232,$AA:$AA,0)+15)+INDEX(AQ:AQ,MATCH(AQ232,$AA:$AA,0)+16))</f>
        <v>181</v>
      </c>
      <c r="AR238" s="364"/>
      <c r="AS238" s="363">
        <f>ABS(INDEX(AS:AS,MATCH(AS232,$AA:$AA,0)+14)+INDEX(AS:AS,MATCH(AS232,$AA:$AA,0)+15)+INDEX(AS:AS,MATCH(AS232,$AA:$AA,0)+16))</f>
        <v>180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90"/>
        <v>Gesamt</v>
      </c>
      <c r="C239" s="344" t="str">
        <f t="shared" si="291"/>
        <v/>
      </c>
      <c r="D239" s="362">
        <f>IF(AC239=1505,"",AC239)</f>
        <v>743</v>
      </c>
      <c r="E239" s="362" t="str">
        <f>IF(AD239=0,"",AD239)</f>
        <v/>
      </c>
      <c r="F239" s="362">
        <f>IF(AE239=1505,"",AE239)</f>
        <v>699</v>
      </c>
      <c r="G239" s="362" t="str">
        <f>IF(AF239=0,"",AF239)</f>
        <v/>
      </c>
      <c r="H239" s="362">
        <f>IF(AG239=1505,"",AG239)</f>
        <v>691</v>
      </c>
      <c r="I239" s="362" t="str">
        <f>IF(AH239=0,"",AH239)</f>
        <v/>
      </c>
      <c r="J239" s="362">
        <f>IF(AI239=1505,"",AI239)</f>
        <v>784</v>
      </c>
      <c r="K239" s="362" t="str">
        <f>IF(AJ239=0,"",AJ239)</f>
        <v/>
      </c>
      <c r="L239" s="362">
        <f>IF(AK239=1505,"",AK239)</f>
        <v>636</v>
      </c>
      <c r="M239" s="362" t="str">
        <f>IF(AL239=0,"",AL239)</f>
        <v/>
      </c>
      <c r="N239" s="362">
        <f>IF(AM239=1505,"",AM239)</f>
        <v>595</v>
      </c>
      <c r="O239" s="362" t="str">
        <f>IF(AN239=0,"",AN239)</f>
        <v/>
      </c>
      <c r="P239" s="362">
        <f>IF(AO239=1505,"",AO239)</f>
        <v>644</v>
      </c>
      <c r="Q239" s="362" t="str">
        <f>IF(AP239=0,"",AP239)</f>
        <v/>
      </c>
      <c r="R239" s="362">
        <f>IF(AQ239=1505,"",AQ239)</f>
        <v>702</v>
      </c>
      <c r="S239" s="362" t="str">
        <f>IF(AR239=0,"",AR239)</f>
        <v/>
      </c>
      <c r="T239" s="362">
        <f>IF(AS239=1505,"",AS239)</f>
        <v>721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743</v>
      </c>
      <c r="AD239" s="344"/>
      <c r="AE239" s="343">
        <f>SUM(AE235:AE238)</f>
        <v>699</v>
      </c>
      <c r="AF239" s="344"/>
      <c r="AG239" s="343">
        <f>SUM(AG235:AG238)</f>
        <v>691</v>
      </c>
      <c r="AH239" s="344"/>
      <c r="AI239" s="343">
        <f>SUM(AI235:AI238)</f>
        <v>784</v>
      </c>
      <c r="AJ239" s="344"/>
      <c r="AK239" s="343">
        <f>SUM(AK235:AK238)</f>
        <v>636</v>
      </c>
      <c r="AL239" s="344"/>
      <c r="AM239" s="343">
        <f>SUM(AM235:AM238)</f>
        <v>595</v>
      </c>
      <c r="AN239" s="344"/>
      <c r="AO239" s="343">
        <f>SUM(AO235:AO238)</f>
        <v>644</v>
      </c>
      <c r="AP239" s="344"/>
      <c r="AQ239" s="343">
        <f>SUM(AQ235:AQ238)</f>
        <v>702</v>
      </c>
      <c r="AR239" s="344"/>
      <c r="AS239" s="343">
        <f>SUM(AS235:AS238)</f>
        <v>721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12.10./13.10.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12.10./13.10.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5">
        <f>IF(AD247="","",AD247)</f>
        <v>1</v>
      </c>
      <c r="F247" s="75">
        <f t="shared" ref="F247:F260" si="294">IF(AE247=0,"",AE247)</f>
        <v>157</v>
      </c>
      <c r="G247" s="345">
        <f>IF(AF247="","",AF247)</f>
        <v>0</v>
      </c>
      <c r="H247" s="75">
        <f t="shared" ref="H247:H260" si="295">IF(AG247=0,"",AG247)</f>
        <v>180</v>
      </c>
      <c r="I247" s="345">
        <f>IF(AH247="","",AH247)</f>
        <v>0</v>
      </c>
      <c r="J247" s="75">
        <f t="shared" ref="J247:J260" si="296">IF(AI247=0,"",AI247)</f>
        <v>180</v>
      </c>
      <c r="K247" s="345">
        <f>IF(AJ247="","",AJ247)</f>
        <v>1</v>
      </c>
      <c r="L247" s="75">
        <f t="shared" ref="L247:L260" si="297">IF(AK247=0,"",AK247)</f>
        <v>164</v>
      </c>
      <c r="M247" s="345">
        <f>IF(AL247="","",AL247)</f>
        <v>0</v>
      </c>
      <c r="N247" s="75">
        <f>IF(AM247=0,"",AM247)</f>
        <v>182</v>
      </c>
      <c r="O247" s="345">
        <f>IF(AN247="","",AN247)</f>
        <v>1</v>
      </c>
      <c r="P247" s="75">
        <f t="shared" ref="P247:P260" si="298">IF(AO247=0,"",AO247)</f>
        <v>212</v>
      </c>
      <c r="Q247" s="345">
        <f>IF(AP247="","",AP247)</f>
        <v>1</v>
      </c>
      <c r="R247" s="75">
        <f t="shared" ref="R247:R260" si="299">IF(AQ247=0,"",AQ247)</f>
        <v>160</v>
      </c>
      <c r="S247" s="345">
        <f>IF(AR247="","",AR247)</f>
        <v>0</v>
      </c>
      <c r="T247" s="75">
        <f t="shared" ref="T247:T260" si="300">IF(AS247=0,"",AS247)</f>
        <v>184</v>
      </c>
      <c r="U247" s="345">
        <f>IF(AT247="","",AT247)</f>
        <v>0</v>
      </c>
      <c r="V247" s="75">
        <f t="shared" ref="V247:V260" si="301">IF(AU247=0,"",AU247)</f>
        <v>1631</v>
      </c>
      <c r="W247" s="345">
        <f>IF(AV247="","",AV247)</f>
        <v>4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0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4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6"/>
      <c r="F248" s="78" t="str">
        <f t="shared" si="294"/>
        <v/>
      </c>
      <c r="G248" s="346"/>
      <c r="H248" s="78" t="str">
        <f t="shared" si="295"/>
        <v/>
      </c>
      <c r="I248" s="346"/>
      <c r="J248" s="78" t="str">
        <f t="shared" si="296"/>
        <v/>
      </c>
      <c r="K248" s="346"/>
      <c r="L248" s="78" t="str">
        <f t="shared" si="297"/>
        <v/>
      </c>
      <c r="M248" s="346"/>
      <c r="N248" s="78" t="str">
        <f t="shared" ref="N248:N260" si="316">IF(AM248=0,"",AM248)</f>
        <v/>
      </c>
      <c r="O248" s="346"/>
      <c r="P248" s="78" t="str">
        <f t="shared" si="298"/>
        <v/>
      </c>
      <c r="Q248" s="346"/>
      <c r="R248" s="78" t="str">
        <f t="shared" si="299"/>
        <v/>
      </c>
      <c r="S248" s="346"/>
      <c r="T248" s="78" t="str">
        <f t="shared" si="300"/>
        <v/>
      </c>
      <c r="U248" s="346"/>
      <c r="V248" s="78" t="str">
        <f t="shared" si="301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5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7"/>
      <c r="F249" s="69" t="str">
        <f t="shared" si="294"/>
        <v/>
      </c>
      <c r="G249" s="347"/>
      <c r="H249" s="69" t="str">
        <f t="shared" si="295"/>
        <v/>
      </c>
      <c r="I249" s="347"/>
      <c r="J249" s="69" t="str">
        <f t="shared" si="296"/>
        <v/>
      </c>
      <c r="K249" s="347"/>
      <c r="L249" s="69" t="str">
        <f t="shared" si="297"/>
        <v/>
      </c>
      <c r="M249" s="347"/>
      <c r="N249" s="69" t="str">
        <f t="shared" si="316"/>
        <v/>
      </c>
      <c r="O249" s="347"/>
      <c r="P249" s="69" t="str">
        <f t="shared" si="298"/>
        <v/>
      </c>
      <c r="Q249" s="347"/>
      <c r="R249" s="69" t="str">
        <f t="shared" si="299"/>
        <v/>
      </c>
      <c r="S249" s="347"/>
      <c r="T249" s="69" t="str">
        <f t="shared" si="300"/>
        <v/>
      </c>
      <c r="U249" s="347"/>
      <c r="V249" s="69" t="str">
        <f t="shared" si="301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3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5">
        <f>IF(AD250="","",AD250)</f>
        <v>0</v>
      </c>
      <c r="F250" s="75">
        <f t="shared" si="294"/>
        <v>186</v>
      </c>
      <c r="G250" s="345">
        <f>IF(AF250="","",AF250)</f>
        <v>1</v>
      </c>
      <c r="H250" s="75">
        <f t="shared" si="295"/>
        <v>119</v>
      </c>
      <c r="I250" s="345">
        <f>IF(AH250="","",AH250)</f>
        <v>0</v>
      </c>
      <c r="J250" s="75">
        <f t="shared" si="296"/>
        <v>191</v>
      </c>
      <c r="K250" s="345">
        <f>IF(AJ250="","",AJ250)</f>
        <v>1</v>
      </c>
      <c r="L250" s="75">
        <f t="shared" si="297"/>
        <v>184</v>
      </c>
      <c r="M250" s="345">
        <f>IF(AL250="","",AL250)</f>
        <v>0</v>
      </c>
      <c r="N250" s="75">
        <f t="shared" si="316"/>
        <v>164</v>
      </c>
      <c r="O250" s="345">
        <f>IF(AN250="","",AN250)</f>
        <v>1</v>
      </c>
      <c r="P250" s="75">
        <f t="shared" si="298"/>
        <v>177</v>
      </c>
      <c r="Q250" s="345">
        <f>IF(AP250="","",AP250)</f>
        <v>0</v>
      </c>
      <c r="R250" s="75">
        <f t="shared" si="299"/>
        <v>148</v>
      </c>
      <c r="S250" s="345">
        <f>IF(AR250="","",AR250)</f>
        <v>0</v>
      </c>
      <c r="T250" s="75">
        <f t="shared" si="300"/>
        <v>167</v>
      </c>
      <c r="U250" s="345">
        <f>IF(AT250="","",AT250)</f>
        <v>1</v>
      </c>
      <c r="V250" s="75">
        <f t="shared" si="301"/>
        <v>1468</v>
      </c>
      <c r="W250" s="345">
        <f>IF(AV250="","",AV250)</f>
        <v>4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0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4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6"/>
      <c r="F251" s="78" t="str">
        <f t="shared" si="294"/>
        <v/>
      </c>
      <c r="G251" s="346"/>
      <c r="H251" s="78" t="str">
        <f t="shared" si="295"/>
        <v/>
      </c>
      <c r="I251" s="346"/>
      <c r="J251" s="78" t="str">
        <f t="shared" si="296"/>
        <v/>
      </c>
      <c r="K251" s="346"/>
      <c r="L251" s="78" t="str">
        <f t="shared" si="297"/>
        <v/>
      </c>
      <c r="M251" s="346"/>
      <c r="N251" s="78" t="str">
        <f t="shared" si="316"/>
        <v/>
      </c>
      <c r="O251" s="346"/>
      <c r="P251" s="78" t="str">
        <f t="shared" si="298"/>
        <v/>
      </c>
      <c r="Q251" s="346"/>
      <c r="R251" s="78" t="str">
        <f t="shared" si="299"/>
        <v/>
      </c>
      <c r="S251" s="346"/>
      <c r="T251" s="78" t="str">
        <f t="shared" si="300"/>
        <v/>
      </c>
      <c r="U251" s="346"/>
      <c r="V251" s="78" t="str">
        <f t="shared" si="301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5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7"/>
      <c r="F252" s="69" t="str">
        <f t="shared" si="294"/>
        <v/>
      </c>
      <c r="G252" s="347"/>
      <c r="H252" s="69" t="str">
        <f t="shared" si="295"/>
        <v/>
      </c>
      <c r="I252" s="347"/>
      <c r="J252" s="69" t="str">
        <f t="shared" si="296"/>
        <v/>
      </c>
      <c r="K252" s="347"/>
      <c r="L252" s="69" t="str">
        <f t="shared" si="297"/>
        <v/>
      </c>
      <c r="M252" s="347"/>
      <c r="N252" s="69" t="str">
        <f t="shared" si="316"/>
        <v/>
      </c>
      <c r="O252" s="347"/>
      <c r="P252" s="69" t="str">
        <f t="shared" si="298"/>
        <v/>
      </c>
      <c r="Q252" s="347"/>
      <c r="R252" s="69" t="str">
        <f t="shared" si="299"/>
        <v/>
      </c>
      <c r="S252" s="347"/>
      <c r="T252" s="69" t="str">
        <f t="shared" si="300"/>
        <v/>
      </c>
      <c r="U252" s="347"/>
      <c r="V252" s="69" t="str">
        <f t="shared" si="301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3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5">
        <f>IF(AD253="","",AD253)</f>
        <v>0</v>
      </c>
      <c r="F253" s="75">
        <f t="shared" si="294"/>
        <v>149</v>
      </c>
      <c r="G253" s="345">
        <f>IF(AF253="","",AF253)</f>
        <v>0</v>
      </c>
      <c r="H253" s="75">
        <f t="shared" si="295"/>
        <v>156</v>
      </c>
      <c r="I253" s="345">
        <f>IF(AH253="","",AH253)</f>
        <v>1</v>
      </c>
      <c r="J253" s="75">
        <f t="shared" si="296"/>
        <v>136</v>
      </c>
      <c r="K253" s="345">
        <f>IF(AJ253="","",AJ253)</f>
        <v>0</v>
      </c>
      <c r="L253" s="75">
        <f t="shared" si="297"/>
        <v>154</v>
      </c>
      <c r="M253" s="345">
        <f>IF(AL253="","",AL253)</f>
        <v>1</v>
      </c>
      <c r="N253" s="75">
        <f t="shared" si="316"/>
        <v>135</v>
      </c>
      <c r="O253" s="345">
        <f>IF(AN253="","",AN253)</f>
        <v>0</v>
      </c>
      <c r="P253" s="75">
        <f t="shared" si="298"/>
        <v>140</v>
      </c>
      <c r="Q253" s="345">
        <f>IF(AP253="","",AP253)</f>
        <v>0</v>
      </c>
      <c r="R253" s="75">
        <f t="shared" si="299"/>
        <v>157</v>
      </c>
      <c r="S253" s="345">
        <f>IF(AR253="","",AR253)</f>
        <v>0</v>
      </c>
      <c r="T253" s="75">
        <f t="shared" si="300"/>
        <v>177</v>
      </c>
      <c r="U253" s="345">
        <f>IF(AT253="","",AT253)</f>
        <v>1</v>
      </c>
      <c r="V253" s="75">
        <f t="shared" si="301"/>
        <v>1342</v>
      </c>
      <c r="W253" s="345">
        <f>IF(AV253="","",AV253)</f>
        <v>3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4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6"/>
      <c r="F254" s="78" t="str">
        <f t="shared" si="294"/>
        <v/>
      </c>
      <c r="G254" s="346"/>
      <c r="H254" s="78" t="str">
        <f t="shared" si="295"/>
        <v/>
      </c>
      <c r="I254" s="346"/>
      <c r="J254" s="78" t="str">
        <f t="shared" si="296"/>
        <v/>
      </c>
      <c r="K254" s="346"/>
      <c r="L254" s="78" t="str">
        <f t="shared" si="297"/>
        <v/>
      </c>
      <c r="M254" s="346"/>
      <c r="N254" s="78" t="str">
        <f t="shared" si="316"/>
        <v/>
      </c>
      <c r="O254" s="346"/>
      <c r="P254" s="78" t="str">
        <f t="shared" si="298"/>
        <v/>
      </c>
      <c r="Q254" s="346"/>
      <c r="R254" s="78" t="str">
        <f t="shared" si="299"/>
        <v/>
      </c>
      <c r="S254" s="346"/>
      <c r="T254" s="78" t="str">
        <f t="shared" si="300"/>
        <v/>
      </c>
      <c r="U254" s="346"/>
      <c r="V254" s="78" t="str">
        <f t="shared" si="301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5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7"/>
      <c r="F255" s="69" t="str">
        <f t="shared" si="294"/>
        <v/>
      </c>
      <c r="G255" s="347"/>
      <c r="H255" s="69" t="str">
        <f t="shared" si="295"/>
        <v/>
      </c>
      <c r="I255" s="347"/>
      <c r="J255" s="69" t="str">
        <f t="shared" si="296"/>
        <v/>
      </c>
      <c r="K255" s="347"/>
      <c r="L255" s="69" t="str">
        <f t="shared" si="297"/>
        <v/>
      </c>
      <c r="M255" s="347"/>
      <c r="N255" s="69" t="str">
        <f t="shared" si="316"/>
        <v/>
      </c>
      <c r="O255" s="347"/>
      <c r="P255" s="69" t="str">
        <f t="shared" si="298"/>
        <v/>
      </c>
      <c r="Q255" s="347"/>
      <c r="R255" s="69" t="str">
        <f t="shared" si="299"/>
        <v/>
      </c>
      <c r="S255" s="347"/>
      <c r="T255" s="69" t="str">
        <f t="shared" si="300"/>
        <v/>
      </c>
      <c r="U255" s="347"/>
      <c r="V255" s="69" t="str">
        <f t="shared" si="301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3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5">
        <f>IF(AD256="","",AD256)</f>
        <v>0</v>
      </c>
      <c r="F256" s="75">
        <f t="shared" si="294"/>
        <v>147</v>
      </c>
      <c r="G256" s="345">
        <f>IF(AF256="","",AF256)</f>
        <v>0</v>
      </c>
      <c r="H256" s="75">
        <f t="shared" si="295"/>
        <v>165</v>
      </c>
      <c r="I256" s="345">
        <f>IF(AH256="","",AH256)</f>
        <v>1</v>
      </c>
      <c r="J256" s="75">
        <f t="shared" si="296"/>
        <v>167</v>
      </c>
      <c r="K256" s="345">
        <f>IF(AJ256="","",AJ256)</f>
        <v>0</v>
      </c>
      <c r="L256" s="75">
        <f t="shared" si="297"/>
        <v>134</v>
      </c>
      <c r="M256" s="345">
        <f>IF(AL256="","",AL256)</f>
        <v>0</v>
      </c>
      <c r="N256" s="75">
        <f t="shared" si="316"/>
        <v>165</v>
      </c>
      <c r="O256" s="345">
        <f>IF(AN256="","",AN256)</f>
        <v>0</v>
      </c>
      <c r="P256" s="75">
        <f t="shared" si="298"/>
        <v>160</v>
      </c>
      <c r="Q256" s="345">
        <f>IF(AP256="","",AP256)</f>
        <v>0</v>
      </c>
      <c r="R256" s="75">
        <f t="shared" si="299"/>
        <v>132</v>
      </c>
      <c r="S256" s="345">
        <f>IF(AR256="","",AR256)</f>
        <v>0</v>
      </c>
      <c r="T256" s="75">
        <f t="shared" si="300"/>
        <v>148</v>
      </c>
      <c r="U256" s="345">
        <f>IF(AT256="","",AT256)</f>
        <v>0</v>
      </c>
      <c r="V256" s="75">
        <f t="shared" si="301"/>
        <v>1364</v>
      </c>
      <c r="W256" s="345">
        <f>IF(AV256="","",AV256)</f>
        <v>1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4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6"/>
      <c r="F257" s="78" t="str">
        <f t="shared" si="294"/>
        <v/>
      </c>
      <c r="G257" s="346"/>
      <c r="H257" s="78" t="str">
        <f t="shared" si="295"/>
        <v/>
      </c>
      <c r="I257" s="346"/>
      <c r="J257" s="78" t="str">
        <f t="shared" si="296"/>
        <v/>
      </c>
      <c r="K257" s="346"/>
      <c r="L257" s="78" t="str">
        <f t="shared" si="297"/>
        <v/>
      </c>
      <c r="M257" s="346"/>
      <c r="N257" s="78" t="str">
        <f t="shared" si="316"/>
        <v/>
      </c>
      <c r="O257" s="346"/>
      <c r="P257" s="78" t="str">
        <f t="shared" si="298"/>
        <v/>
      </c>
      <c r="Q257" s="346"/>
      <c r="R257" s="78" t="str">
        <f t="shared" si="299"/>
        <v/>
      </c>
      <c r="S257" s="346"/>
      <c r="T257" s="78" t="str">
        <f t="shared" si="300"/>
        <v/>
      </c>
      <c r="U257" s="346"/>
      <c r="V257" s="78" t="str">
        <f t="shared" si="301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5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7"/>
      <c r="F258" s="69" t="str">
        <f t="shared" si="294"/>
        <v/>
      </c>
      <c r="G258" s="347"/>
      <c r="H258" s="69" t="str">
        <f t="shared" si="295"/>
        <v/>
      </c>
      <c r="I258" s="347"/>
      <c r="J258" s="69" t="str">
        <f t="shared" si="296"/>
        <v/>
      </c>
      <c r="K258" s="347"/>
      <c r="L258" s="69" t="str">
        <f t="shared" si="297"/>
        <v/>
      </c>
      <c r="M258" s="347"/>
      <c r="N258" s="69" t="str">
        <f t="shared" si="316"/>
        <v/>
      </c>
      <c r="O258" s="347"/>
      <c r="P258" s="69" t="str">
        <f t="shared" si="298"/>
        <v/>
      </c>
      <c r="Q258" s="347"/>
      <c r="R258" s="69" t="str">
        <f t="shared" si="299"/>
        <v/>
      </c>
      <c r="S258" s="347"/>
      <c r="T258" s="69" t="str">
        <f t="shared" si="300"/>
        <v/>
      </c>
      <c r="U258" s="347"/>
      <c r="V258" s="69" t="str">
        <f t="shared" si="301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0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2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12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12</v>
      </c>
      <c r="AW260" s="101"/>
      <c r="AX260" s="102"/>
      <c r="BA260" s="212">
        <f>+AV260</f>
        <v>12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12.005805000000001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3">
        <f t="shared" ref="D262:M264" si="329">IF(AC262=0,"",AC262)</f>
        <v>5</v>
      </c>
      <c r="E262" s="353" t="str">
        <f t="shared" si="329"/>
        <v/>
      </c>
      <c r="F262" s="353">
        <f t="shared" si="329"/>
        <v>1</v>
      </c>
      <c r="G262" s="353" t="str">
        <f t="shared" si="329"/>
        <v/>
      </c>
      <c r="H262" s="353">
        <f t="shared" si="329"/>
        <v>4</v>
      </c>
      <c r="I262" s="353" t="str">
        <f t="shared" si="329"/>
        <v/>
      </c>
      <c r="J262" s="353">
        <f t="shared" si="329"/>
        <v>3</v>
      </c>
      <c r="K262" s="353" t="str">
        <f t="shared" si="329"/>
        <v/>
      </c>
      <c r="L262" s="353">
        <f t="shared" si="329"/>
        <v>8</v>
      </c>
      <c r="M262" s="353" t="str">
        <f t="shared" si="329"/>
        <v/>
      </c>
      <c r="N262" s="353">
        <f t="shared" ref="N262:U264" si="330">IF(AM262=0,"",AM262)</f>
        <v>10</v>
      </c>
      <c r="O262" s="353" t="str">
        <f t="shared" si="330"/>
        <v/>
      </c>
      <c r="P262" s="353">
        <f t="shared" si="330"/>
        <v>7</v>
      </c>
      <c r="Q262" s="353" t="str">
        <f t="shared" si="330"/>
        <v/>
      </c>
      <c r="R262" s="353">
        <f t="shared" si="330"/>
        <v>6</v>
      </c>
      <c r="S262" s="353" t="str">
        <f t="shared" si="330"/>
        <v/>
      </c>
      <c r="T262" s="353">
        <f t="shared" si="330"/>
        <v>2</v>
      </c>
      <c r="U262" s="353" t="str">
        <f t="shared" si="330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VLOOKUP($AA242,Schlüssel!$A$5:$K$14,3)</f>
        <v>5</v>
      </c>
      <c r="AD262" s="368"/>
      <c r="AE262" s="367">
        <f>VLOOKUP($AA242,Schlüssel!$A$5:$K$14,4)</f>
        <v>1</v>
      </c>
      <c r="AF262" s="368"/>
      <c r="AG262" s="367">
        <f>VLOOKUP($AA242,Schlüssel!$A$5:$K$14,5)</f>
        <v>4</v>
      </c>
      <c r="AH262" s="368"/>
      <c r="AI262" s="367">
        <f>VLOOKUP($AA242,Schlüssel!$A$5:$K$14,6)</f>
        <v>3</v>
      </c>
      <c r="AJ262" s="368"/>
      <c r="AK262" s="367">
        <f>VLOOKUP($AA242,Schlüssel!$A$5:$K$14,7)</f>
        <v>8</v>
      </c>
      <c r="AL262" s="368"/>
      <c r="AM262" s="367">
        <f>VLOOKUP($AA242,Schlüssel!$A$5:$K$14,8)</f>
        <v>10</v>
      </c>
      <c r="AN262" s="368"/>
      <c r="AO262" s="367">
        <f>VLOOKUP($AA242,Schlüssel!$A$5:$K$14,9)</f>
        <v>7</v>
      </c>
      <c r="AP262" s="368"/>
      <c r="AQ262" s="367">
        <f>VLOOKUP($AA242,Schlüssel!$A$5:$K$14,10)</f>
        <v>6</v>
      </c>
      <c r="AR262" s="368"/>
      <c r="AS262" s="367">
        <f>VLOOKUP($AA242,Schlüssel!$A$5:$K$14,11)</f>
        <v>2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5" t="str">
        <f t="shared" si="329"/>
        <v xml:space="preserve">Weiß Blau Unterföhring </v>
      </c>
      <c r="E263" s="356" t="str">
        <f t="shared" si="329"/>
        <v/>
      </c>
      <c r="F263" s="355" t="str">
        <f t="shared" si="329"/>
        <v>Praetoria Regensburg</v>
      </c>
      <c r="G263" s="356" t="str">
        <f t="shared" si="329"/>
        <v/>
      </c>
      <c r="H263" s="355" t="str">
        <f t="shared" si="329"/>
        <v>BK München 3</v>
      </c>
      <c r="I263" s="356" t="str">
        <f t="shared" si="329"/>
        <v/>
      </c>
      <c r="J263" s="355" t="str">
        <f t="shared" si="329"/>
        <v>Highroller Rosenheim</v>
      </c>
      <c r="K263" s="356" t="str">
        <f t="shared" si="329"/>
        <v/>
      </c>
      <c r="L263" s="355" t="str">
        <f t="shared" si="329"/>
        <v>EPA München 1</v>
      </c>
      <c r="M263" s="356" t="str">
        <f t="shared" si="329"/>
        <v/>
      </c>
      <c r="N263" s="355" t="str">
        <f t="shared" si="330"/>
        <v>BK München 4</v>
      </c>
      <c r="O263" s="356" t="str">
        <f t="shared" si="330"/>
        <v/>
      </c>
      <c r="P263" s="355" t="str">
        <f t="shared" si="330"/>
        <v>Frankenpower Nürnberg</v>
      </c>
      <c r="Q263" s="356" t="str">
        <f t="shared" si="330"/>
        <v/>
      </c>
      <c r="R263" s="355" t="str">
        <f t="shared" si="330"/>
        <v>Phönix 03 Lauf</v>
      </c>
      <c r="S263" s="356" t="str">
        <f t="shared" si="330"/>
        <v/>
      </c>
      <c r="T263" s="355" t="str">
        <f t="shared" si="330"/>
        <v>BK München 2</v>
      </c>
      <c r="U263" s="356" t="str">
        <f t="shared" si="330"/>
        <v/>
      </c>
      <c r="V263" s="360"/>
      <c r="W263" s="360"/>
      <c r="AA263" s="90"/>
      <c r="AB263" s="86"/>
      <c r="AC263" s="355" t="str">
        <f>VLOOKUP(AC262,Schlüssel!$A$5:$K$14,2)</f>
        <v xml:space="preserve">Weiß Blau Unterföhring 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>Highroller Rosenheim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Phönix 03 Lauf</v>
      </c>
      <c r="AR263" s="356"/>
      <c r="AS263" s="355" t="str">
        <f>VLOOKUP(AS262,Schlüssel!$A$5:$K$14,2)</f>
        <v>BK München 2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7" t="str">
        <f t="shared" si="329"/>
        <v/>
      </c>
      <c r="E264" s="357" t="str">
        <f t="shared" si="329"/>
        <v/>
      </c>
      <c r="F264" s="357" t="str">
        <f t="shared" si="329"/>
        <v/>
      </c>
      <c r="G264" s="357" t="str">
        <f t="shared" si="329"/>
        <v/>
      </c>
      <c r="H264" s="357" t="str">
        <f t="shared" si="329"/>
        <v/>
      </c>
      <c r="I264" s="357" t="str">
        <f t="shared" si="329"/>
        <v/>
      </c>
      <c r="J264" s="357" t="str">
        <f t="shared" si="329"/>
        <v/>
      </c>
      <c r="K264" s="357" t="str">
        <f t="shared" si="329"/>
        <v/>
      </c>
      <c r="L264" s="357" t="str">
        <f t="shared" si="329"/>
        <v/>
      </c>
      <c r="M264" s="357" t="str">
        <f t="shared" si="329"/>
        <v/>
      </c>
      <c r="N264" s="357" t="str">
        <f t="shared" si="330"/>
        <v/>
      </c>
      <c r="O264" s="357" t="str">
        <f t="shared" si="330"/>
        <v/>
      </c>
      <c r="P264" s="357" t="str">
        <f t="shared" si="330"/>
        <v/>
      </c>
      <c r="Q264" s="357" t="str">
        <f t="shared" si="330"/>
        <v/>
      </c>
      <c r="R264" s="357" t="str">
        <f t="shared" si="330"/>
        <v/>
      </c>
      <c r="S264" s="357" t="str">
        <f t="shared" si="330"/>
        <v/>
      </c>
      <c r="T264" s="357" t="str">
        <f t="shared" si="330"/>
        <v/>
      </c>
      <c r="U264" s="358" t="str">
        <f t="shared" si="330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si="327"/>
        <v>Spieler 1</v>
      </c>
      <c r="C265" s="372" t="str">
        <f t="shared" si="328"/>
        <v/>
      </c>
      <c r="D265" s="359">
        <f>IF(AC265=301,"",AC265)</f>
        <v>184</v>
      </c>
      <c r="E265" s="359" t="str">
        <f>IF(AD265=0,"",AD265)</f>
        <v/>
      </c>
      <c r="F265" s="359">
        <f>IF(AE265=301,"",AE265)</f>
        <v>180</v>
      </c>
      <c r="G265" s="359" t="str">
        <f>IF(AF265=0,"",AF265)</f>
        <v/>
      </c>
      <c r="H265" s="359">
        <f>IF(AG265=301,"",AG265)</f>
        <v>181</v>
      </c>
      <c r="I265" s="359" t="str">
        <f>IF(AH265=0,"",AH265)</f>
        <v/>
      </c>
      <c r="J265" s="359">
        <f>IF(AI265=301,"",AI265)</f>
        <v>178</v>
      </c>
      <c r="K265" s="359" t="str">
        <f>IF(AJ265=0,"",AJ265)</f>
        <v/>
      </c>
      <c r="L265" s="359">
        <f>IF(AK265=301,"",AK265)</f>
        <v>206</v>
      </c>
      <c r="M265" s="359" t="str">
        <f>IF(AL265=0,"",AL265)</f>
        <v/>
      </c>
      <c r="N265" s="359">
        <f>IF(AM265=301,"",AM265)</f>
        <v>149</v>
      </c>
      <c r="O265" s="359" t="str">
        <f>IF(AN265=0,"",AN265)</f>
        <v/>
      </c>
      <c r="P265" s="359">
        <f>IF(AO265=301,"",AO265)</f>
        <v>181</v>
      </c>
      <c r="Q265" s="359" t="str">
        <f>IF(AP265=0,"",AP265)</f>
        <v/>
      </c>
      <c r="R265" s="359">
        <f>IF(AQ265=301,"",AQ265)</f>
        <v>161</v>
      </c>
      <c r="S265" s="359" t="str">
        <f>IF(AR265=0,"",AR265)</f>
        <v/>
      </c>
      <c r="T265" s="359">
        <f>IF(AS265=301,"",AS265)</f>
        <v>223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184</v>
      </c>
      <c r="AD265" s="366"/>
      <c r="AE265" s="365">
        <f>ABS(INDEX(AE:AE,MATCH(AE262,$AA:$AA,0)+5)+INDEX(AE:AE,MATCH(AE262,$AA:$AA,0)+6)+INDEX(AE:AE,MATCH(AE262,$AA:$AA,0)+7))</f>
        <v>180</v>
      </c>
      <c r="AF265" s="366"/>
      <c r="AG265" s="365">
        <f>ABS(INDEX(AG:AG,MATCH(AG262,$AA:$AA,0)+5)+INDEX(AG:AG,MATCH(AG262,$AA:$AA,0)+6)+INDEX(AG:AG,MATCH(AG262,$AA:$AA,0)+7))</f>
        <v>181</v>
      </c>
      <c r="AH265" s="366"/>
      <c r="AI265" s="365">
        <f>ABS(INDEX(AI:AI,MATCH(AI262,$AA:$AA,0)+5)+INDEX(AI:AI,MATCH(AI262,$AA:$AA,0)+6)+INDEX(AI:AI,MATCH(AI262,$AA:$AA,0)+7))</f>
        <v>178</v>
      </c>
      <c r="AJ265" s="366"/>
      <c r="AK265" s="365">
        <f>ABS(INDEX(AK:AK,MATCH(AK262,$AA:$AA,0)+5)+INDEX(AK:AK,MATCH(AK262,$AA:$AA,0)+6)+INDEX(AK:AK,MATCH(AK262,$AA:$AA,0)+7))</f>
        <v>206</v>
      </c>
      <c r="AL265" s="366"/>
      <c r="AM265" s="365">
        <f>ABS(INDEX(AM:AM,MATCH(AM262,$AA:$AA,0)+5)+INDEX(AM:AM,MATCH(AM262,$AA:$AA,0)+6)+INDEX(AM:AM,MATCH(AM262,$AA:$AA,0)+7))</f>
        <v>149</v>
      </c>
      <c r="AN265" s="366"/>
      <c r="AO265" s="365">
        <f>ABS(INDEX(AO:AO,MATCH(AO262,$AA:$AA,0)+5)+INDEX(AO:AO,MATCH(AO262,$AA:$AA,0)+6)+INDEX(AO:AO,MATCH(AO262,$AA:$AA,0)+7))</f>
        <v>181</v>
      </c>
      <c r="AP265" s="366"/>
      <c r="AQ265" s="365">
        <f>ABS(INDEX(AQ:AQ,MATCH(AQ262,$AA:$AA,0)+5)+INDEX(AQ:AQ,MATCH(AQ262,$AA:$AA,0)+6)+INDEX(AQ:AQ,MATCH(AQ262,$AA:$AA,0)+7))</f>
        <v>161</v>
      </c>
      <c r="AR265" s="366"/>
      <c r="AS265" s="365">
        <f>ABS(INDEX(AS:AS,MATCH(AS262,$AA:$AA,0)+5)+INDEX(AS:AS,MATCH(AS262,$AA:$AA,0)+6)+INDEX(AS:AS,MATCH(AS262,$AA:$AA,0)+7))</f>
        <v>223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27"/>
        <v>Spieler 2</v>
      </c>
      <c r="C266" s="372" t="str">
        <f t="shared" si="328"/>
        <v/>
      </c>
      <c r="D266" s="359">
        <f>IF(AC266=301,"",AC266)</f>
        <v>156</v>
      </c>
      <c r="E266" s="359" t="str">
        <f>IF(AD266=0,"",AD266)</f>
        <v/>
      </c>
      <c r="F266" s="359">
        <f>IF(AE266=301,"",AE266)</f>
        <v>155</v>
      </c>
      <c r="G266" s="359" t="str">
        <f>IF(AF266=0,"",AF266)</f>
        <v/>
      </c>
      <c r="H266" s="359">
        <f>IF(AG266=301,"",AG266)</f>
        <v>196</v>
      </c>
      <c r="I266" s="359" t="str">
        <f>IF(AH266=0,"",AH266)</f>
        <v/>
      </c>
      <c r="J266" s="359">
        <f>IF(AI266=301,"",AI266)</f>
        <v>147</v>
      </c>
      <c r="K266" s="359" t="str">
        <f>IF(AJ266=0,"",AJ266)</f>
        <v/>
      </c>
      <c r="L266" s="359">
        <f>IF(AK266=301,"",AK266)</f>
        <v>200</v>
      </c>
      <c r="M266" s="359" t="str">
        <f>IF(AL266=0,"",AL266)</f>
        <v/>
      </c>
      <c r="N266" s="359">
        <f>IF(AM266=301,"",AM266)</f>
        <v>129</v>
      </c>
      <c r="O266" s="359" t="str">
        <f>IF(AN266=0,"",AN266)</f>
        <v/>
      </c>
      <c r="P266" s="359">
        <f>IF(AO266=301,"",AO266)</f>
        <v>201</v>
      </c>
      <c r="Q266" s="359" t="str">
        <f>IF(AP266=0,"",AP266)</f>
        <v/>
      </c>
      <c r="R266" s="359">
        <f>IF(AQ266=301,"",AQ266)</f>
        <v>205</v>
      </c>
      <c r="S266" s="359" t="str">
        <f>IF(AR266=0,"",AR266)</f>
        <v/>
      </c>
      <c r="T266" s="359">
        <f>IF(AS266=301,"",AS266)</f>
        <v>154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156</v>
      </c>
      <c r="AD266" s="364"/>
      <c r="AE266" s="363">
        <f>ABS(INDEX(AE:AE,MATCH(AE262,$AA:$AA,0)+8)+INDEX(AE:AE,MATCH(AE262,$AA:$AA,0)+9)+INDEX(AE:AE,MATCH(AE262,$AA:$AA,0)+10))</f>
        <v>155</v>
      </c>
      <c r="AF266" s="364"/>
      <c r="AG266" s="363">
        <f>ABS(INDEX(AG:AG,MATCH(AG262,$AA:$AA,0)+8)+INDEX(AG:AG,MATCH(AG262,$AA:$AA,0)+9)+INDEX(AG:AG,MATCH(AG262,$AA:$AA,0)+10))</f>
        <v>196</v>
      </c>
      <c r="AH266" s="364"/>
      <c r="AI266" s="363">
        <f>ABS(INDEX(AI:AI,MATCH(AI262,$AA:$AA,0)+8)+INDEX(AI:AI,MATCH(AI262,$AA:$AA,0)+9)+INDEX(AI:AI,MATCH(AI262,$AA:$AA,0)+10))</f>
        <v>147</v>
      </c>
      <c r="AJ266" s="364"/>
      <c r="AK266" s="363">
        <f>ABS(INDEX(AK:AK,MATCH(AK262,$AA:$AA,0)+8)+INDEX(AK:AK,MATCH(AK262,$AA:$AA,0)+9)+INDEX(AK:AK,MATCH(AK262,$AA:$AA,0)+10))</f>
        <v>200</v>
      </c>
      <c r="AL266" s="364"/>
      <c r="AM266" s="363">
        <f>ABS(INDEX(AM:AM,MATCH(AM262,$AA:$AA,0)+8)+INDEX(AM:AM,MATCH(AM262,$AA:$AA,0)+9)+INDEX(AM:AM,MATCH(AM262,$AA:$AA,0)+10))</f>
        <v>129</v>
      </c>
      <c r="AN266" s="364"/>
      <c r="AO266" s="363">
        <f>ABS(INDEX(AO:AO,MATCH(AO262,$AA:$AA,0)+8)+INDEX(AO:AO,MATCH(AO262,$AA:$AA,0)+9)+INDEX(AO:AO,MATCH(AO262,$AA:$AA,0)+10))</f>
        <v>201</v>
      </c>
      <c r="AP266" s="364"/>
      <c r="AQ266" s="363">
        <f>ABS(INDEX(AQ:AQ,MATCH(AQ262,$AA:$AA,0)+8)+INDEX(AQ:AQ,MATCH(AQ262,$AA:$AA,0)+9)+INDEX(AQ:AQ,MATCH(AQ262,$AA:$AA,0)+10))</f>
        <v>205</v>
      </c>
      <c r="AR266" s="364"/>
      <c r="AS266" s="363">
        <f>ABS(INDEX(AS:AS,MATCH(AS262,$AA:$AA,0)+8)+INDEX(AS:AS,MATCH(AS262,$AA:$AA,0)+9)+INDEX(AS:AS,MATCH(AS262,$AA:$AA,0)+10))</f>
        <v>154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27"/>
        <v>Spieler 3</v>
      </c>
      <c r="C267" s="372" t="str">
        <f t="shared" si="328"/>
        <v/>
      </c>
      <c r="D267" s="359">
        <f>IF(AC267=301,"",AC267)</f>
        <v>149</v>
      </c>
      <c r="E267" s="359" t="str">
        <f>IF(AD267=0,"",AD267)</f>
        <v/>
      </c>
      <c r="F267" s="359">
        <f>IF(AE267=301,"",AE267)</f>
        <v>167</v>
      </c>
      <c r="G267" s="359" t="str">
        <f>IF(AF267=0,"",AF267)</f>
        <v/>
      </c>
      <c r="H267" s="359">
        <f>IF(AG267=301,"",AG267)</f>
        <v>151</v>
      </c>
      <c r="I267" s="359" t="str">
        <f>IF(AH267=0,"",AH267)</f>
        <v/>
      </c>
      <c r="J267" s="359">
        <f>IF(AI267=301,"",AI267)</f>
        <v>203</v>
      </c>
      <c r="K267" s="359" t="str">
        <f>IF(AJ267=0,"",AJ267)</f>
        <v/>
      </c>
      <c r="L267" s="359">
        <f>IF(AK267=301,"",AK267)</f>
        <v>149</v>
      </c>
      <c r="M267" s="359" t="str">
        <f>IF(AL267=0,"",AL267)</f>
        <v/>
      </c>
      <c r="N267" s="359">
        <f>IF(AM267=301,"",AM267)</f>
        <v>173</v>
      </c>
      <c r="O267" s="359" t="str">
        <f>IF(AN267=0,"",AN267)</f>
        <v/>
      </c>
      <c r="P267" s="359">
        <f>IF(AO267=301,"",AO267)</f>
        <v>180</v>
      </c>
      <c r="Q267" s="359" t="str">
        <f>IF(AP267=0,"",AP267)</f>
        <v/>
      </c>
      <c r="R267" s="359">
        <f>IF(AQ267=301,"",AQ267)</f>
        <v>172</v>
      </c>
      <c r="S267" s="359" t="str">
        <f>IF(AR267=0,"",AR267)</f>
        <v/>
      </c>
      <c r="T267" s="359">
        <f>IF(AS267=301,"",AS267)</f>
        <v>176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149</v>
      </c>
      <c r="AD267" s="364"/>
      <c r="AE267" s="363">
        <f>ABS(INDEX(AE:AE,MATCH(AE262,$AA:$AA,0)+11)+INDEX(AE:AE,MATCH(AE262,$AA:$AA,0)+12)+INDEX(AE:AE,MATCH(AE262,$AA:$AA,0)+13))</f>
        <v>167</v>
      </c>
      <c r="AF267" s="364"/>
      <c r="AG267" s="363">
        <f>ABS(INDEX(AG:AG,MATCH(AG262,$AA:$AA,0)+11)+INDEX(AG:AG,MATCH(AG262,$AA:$AA,0)+12)+INDEX(AG:AG,MATCH(AG262,$AA:$AA,0)+13))</f>
        <v>151</v>
      </c>
      <c r="AH267" s="364"/>
      <c r="AI267" s="363">
        <f>ABS(INDEX(AI:AI,MATCH(AI262,$AA:$AA,0)+11)+INDEX(AI:AI,MATCH(AI262,$AA:$AA,0)+12)+INDEX(AI:AI,MATCH(AI262,$AA:$AA,0)+13))</f>
        <v>203</v>
      </c>
      <c r="AJ267" s="364"/>
      <c r="AK267" s="363">
        <f>ABS(INDEX(AK:AK,MATCH(AK262,$AA:$AA,0)+11)+INDEX(AK:AK,MATCH(AK262,$AA:$AA,0)+12)+INDEX(AK:AK,MATCH(AK262,$AA:$AA,0)+13))</f>
        <v>149</v>
      </c>
      <c r="AL267" s="364"/>
      <c r="AM267" s="363">
        <f>ABS(INDEX(AM:AM,MATCH(AM262,$AA:$AA,0)+11)+INDEX(AM:AM,MATCH(AM262,$AA:$AA,0)+12)+INDEX(AM:AM,MATCH(AM262,$AA:$AA,0)+13))</f>
        <v>173</v>
      </c>
      <c r="AN267" s="364"/>
      <c r="AO267" s="363">
        <f>ABS(INDEX(AO:AO,MATCH(AO262,$AA:$AA,0)+11)+INDEX(AO:AO,MATCH(AO262,$AA:$AA,0)+12)+INDEX(AO:AO,MATCH(AO262,$AA:$AA,0)+13))</f>
        <v>180</v>
      </c>
      <c r="AP267" s="364"/>
      <c r="AQ267" s="363">
        <f>ABS(INDEX(AQ:AQ,MATCH(AQ262,$AA:$AA,0)+11)+INDEX(AQ:AQ,MATCH(AQ262,$AA:$AA,0)+12)+INDEX(AQ:AQ,MATCH(AQ262,$AA:$AA,0)+13))</f>
        <v>172</v>
      </c>
      <c r="AR267" s="364"/>
      <c r="AS267" s="363">
        <f>ABS(INDEX(AS:AS,MATCH(AS262,$AA:$AA,0)+11)+INDEX(AS:AS,MATCH(AS262,$AA:$AA,0)+12)+INDEX(AS:AS,MATCH(AS262,$AA:$AA,0)+13))</f>
        <v>176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27"/>
        <v>Spieler 4</v>
      </c>
      <c r="C268" s="372" t="str">
        <f t="shared" si="328"/>
        <v/>
      </c>
      <c r="D268" s="359">
        <f>IF(AC268=301,"",AC268)</f>
        <v>189</v>
      </c>
      <c r="E268" s="359" t="str">
        <f>IF(AD268=0,"",AD268)</f>
        <v/>
      </c>
      <c r="F268" s="359">
        <f>IF(AE268=301,"",AE268)</f>
        <v>172</v>
      </c>
      <c r="G268" s="359" t="str">
        <f>IF(AF268=0,"",AF268)</f>
        <v/>
      </c>
      <c r="H268" s="359">
        <f>IF(AG268=301,"",AG268)</f>
        <v>152</v>
      </c>
      <c r="I268" s="359" t="str">
        <f>IF(AH268=0,"",AH268)</f>
        <v/>
      </c>
      <c r="J268" s="359">
        <f>IF(AI268=301,"",AI268)</f>
        <v>201</v>
      </c>
      <c r="K268" s="359" t="str">
        <f>IF(AJ268=0,"",AJ268)</f>
        <v/>
      </c>
      <c r="L268" s="359">
        <f>IF(AK268=301,"",AK268)</f>
        <v>168</v>
      </c>
      <c r="M268" s="359" t="str">
        <f>IF(AL268=0,"",AL268)</f>
        <v/>
      </c>
      <c r="N268" s="359">
        <f>IF(AM268=301,"",AM268)</f>
        <v>204</v>
      </c>
      <c r="O268" s="359" t="str">
        <f>IF(AN268=0,"",AN268)</f>
        <v/>
      </c>
      <c r="P268" s="359">
        <f>IF(AO268=301,"",AO268)</f>
        <v>180</v>
      </c>
      <c r="Q268" s="359" t="str">
        <f>IF(AP268=0,"",AP268)</f>
        <v/>
      </c>
      <c r="R268" s="359">
        <f>IF(AQ268=301,"",AQ268)</f>
        <v>200</v>
      </c>
      <c r="S268" s="359" t="str">
        <f>IF(AR268=0,"",AR268)</f>
        <v/>
      </c>
      <c r="T268" s="359">
        <f>IF(AS268=301,"",AS268)</f>
        <v>182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189</v>
      </c>
      <c r="AD268" s="364"/>
      <c r="AE268" s="363">
        <f>ABS(INDEX(AE:AE,MATCH(AE262,$AA:$AA,0)+14)+INDEX(AE:AE,MATCH(AE262,$AA:$AA,0)+15)+INDEX(AE:AE,MATCH(AE262,$AA:$AA,0)+16))</f>
        <v>172</v>
      </c>
      <c r="AF268" s="364"/>
      <c r="AG268" s="363">
        <f>ABS(INDEX(AG:AG,MATCH(AG262,$AA:$AA,0)+14)+INDEX(AG:AG,MATCH(AG262,$AA:$AA,0)+15)+INDEX(AG:AG,MATCH(AG262,$AA:$AA,0)+16))</f>
        <v>152</v>
      </c>
      <c r="AH268" s="364"/>
      <c r="AI268" s="363">
        <f>ABS(INDEX(AI:AI,MATCH(AI262,$AA:$AA,0)+14)+INDEX(AI:AI,MATCH(AI262,$AA:$AA,0)+15)+INDEX(AI:AI,MATCH(AI262,$AA:$AA,0)+16))</f>
        <v>201</v>
      </c>
      <c r="AJ268" s="364"/>
      <c r="AK268" s="363">
        <f>ABS(INDEX(AK:AK,MATCH(AK262,$AA:$AA,0)+14)+INDEX(AK:AK,MATCH(AK262,$AA:$AA,0)+15)+INDEX(AK:AK,MATCH(AK262,$AA:$AA,0)+16))</f>
        <v>168</v>
      </c>
      <c r="AL268" s="364"/>
      <c r="AM268" s="363">
        <f>ABS(INDEX(AM:AM,MATCH(AM262,$AA:$AA,0)+14)+INDEX(AM:AM,MATCH(AM262,$AA:$AA,0)+15)+INDEX(AM:AM,MATCH(AM262,$AA:$AA,0)+16))</f>
        <v>204</v>
      </c>
      <c r="AN268" s="364"/>
      <c r="AO268" s="363">
        <f>ABS(INDEX(AO:AO,MATCH(AO262,$AA:$AA,0)+14)+INDEX(AO:AO,MATCH(AO262,$AA:$AA,0)+15)+INDEX(AO:AO,MATCH(AO262,$AA:$AA,0)+16))</f>
        <v>180</v>
      </c>
      <c r="AP268" s="364"/>
      <c r="AQ268" s="363">
        <f>ABS(INDEX(AQ:AQ,MATCH(AQ262,$AA:$AA,0)+14)+INDEX(AQ:AQ,MATCH(AQ262,$AA:$AA,0)+15)+INDEX(AQ:AQ,MATCH(AQ262,$AA:$AA,0)+16))</f>
        <v>200</v>
      </c>
      <c r="AR268" s="364"/>
      <c r="AS268" s="363">
        <f>ABS(INDEX(AS:AS,MATCH(AS262,$AA:$AA,0)+14)+INDEX(AS:AS,MATCH(AS262,$AA:$AA,0)+15)+INDEX(AS:AS,MATCH(AS262,$AA:$AA,0)+16))</f>
        <v>182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27"/>
        <v>Gesamt</v>
      </c>
      <c r="C269" s="344" t="str">
        <f t="shared" si="328"/>
        <v/>
      </c>
      <c r="D269" s="362">
        <f>IF(AC269=1505,"",AC269)</f>
        <v>678</v>
      </c>
      <c r="E269" s="362" t="str">
        <f>IF(AD269=0,"",AD269)</f>
        <v/>
      </c>
      <c r="F269" s="362">
        <f>IF(AE269=1505,"",AE269)</f>
        <v>674</v>
      </c>
      <c r="G269" s="362" t="str">
        <f>IF(AF269=0,"",AF269)</f>
        <v/>
      </c>
      <c r="H269" s="362">
        <f>IF(AG269=1505,"",AG269)</f>
        <v>680</v>
      </c>
      <c r="I269" s="362" t="str">
        <f>IF(AH269=0,"",AH269)</f>
        <v/>
      </c>
      <c r="J269" s="362">
        <f>IF(AI269=1505,"",AI269)</f>
        <v>729</v>
      </c>
      <c r="K269" s="362" t="str">
        <f>IF(AJ269=0,"",AJ269)</f>
        <v/>
      </c>
      <c r="L269" s="362">
        <f>IF(AK269=1505,"",AK269)</f>
        <v>723</v>
      </c>
      <c r="M269" s="362" t="str">
        <f>IF(AL269=0,"",AL269)</f>
        <v/>
      </c>
      <c r="N269" s="362">
        <f>IF(AM269=1505,"",AM269)</f>
        <v>655</v>
      </c>
      <c r="O269" s="362" t="str">
        <f>IF(AN269=0,"",AN269)</f>
        <v/>
      </c>
      <c r="P269" s="362">
        <f>IF(AO269=1505,"",AO269)</f>
        <v>742</v>
      </c>
      <c r="Q269" s="362" t="str">
        <f>IF(AP269=0,"",AP269)</f>
        <v/>
      </c>
      <c r="R269" s="362">
        <f>IF(AQ269=1505,"",AQ269)</f>
        <v>738</v>
      </c>
      <c r="S269" s="362" t="str">
        <f>IF(AR269=0,"",AR269)</f>
        <v/>
      </c>
      <c r="T269" s="362">
        <f>IF(AS269=1505,"",AS269)</f>
        <v>735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678</v>
      </c>
      <c r="AD269" s="344"/>
      <c r="AE269" s="343">
        <f>SUM(AE265:AE268)</f>
        <v>674</v>
      </c>
      <c r="AF269" s="344"/>
      <c r="AG269" s="343">
        <f>SUM(AG265:AG268)</f>
        <v>680</v>
      </c>
      <c r="AH269" s="344"/>
      <c r="AI269" s="343">
        <f>SUM(AI265:AI268)</f>
        <v>729</v>
      </c>
      <c r="AJ269" s="344"/>
      <c r="AK269" s="343">
        <f>SUM(AK265:AK268)</f>
        <v>723</v>
      </c>
      <c r="AL269" s="344"/>
      <c r="AM269" s="343">
        <f>SUM(AM265:AM268)</f>
        <v>655</v>
      </c>
      <c r="AN269" s="344"/>
      <c r="AO269" s="343">
        <f>SUM(AO265:AO268)</f>
        <v>742</v>
      </c>
      <c r="AP269" s="344"/>
      <c r="AQ269" s="343">
        <f>SUM(AQ265:AQ268)</f>
        <v>738</v>
      </c>
      <c r="AR269" s="344"/>
      <c r="AS269" s="343">
        <f>SUM(AS265:AS268)</f>
        <v>735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12.10./13.10.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12.10./13.10.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3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5">
        <f>IF(AD277="","",AD277)</f>
        <v>1</v>
      </c>
      <c r="F277" s="75">
        <f t="shared" ref="F277:F290" si="331">IF(AE277=0,"",AE277)</f>
        <v>166</v>
      </c>
      <c r="G277" s="345">
        <f>IF(AF277="","",AF277)</f>
        <v>0</v>
      </c>
      <c r="H277" s="75">
        <f t="shared" ref="H277:H290" si="332">IF(AG277=0,"",AG277)</f>
        <v>145</v>
      </c>
      <c r="I277" s="345">
        <f>IF(AH277="","",AH277)</f>
        <v>1</v>
      </c>
      <c r="J277" s="75">
        <f t="shared" ref="J277:J290" si="333">IF(AI277=0,"",AI277)</f>
        <v>168</v>
      </c>
      <c r="K277" s="345">
        <f>IF(AJ277="","",AJ277)</f>
        <v>0</v>
      </c>
      <c r="L277" s="75" t="str">
        <f t="shared" ref="L277:L290" si="334">IF(AK277=0,"",AK277)</f>
        <v/>
      </c>
      <c r="M277" s="345">
        <f>IF(AL277="","",AL277)</f>
        <v>1</v>
      </c>
      <c r="N277" s="75" t="str">
        <f>IF(AM277=0,"",AM277)</f>
        <v/>
      </c>
      <c r="O277" s="345">
        <f>IF(AN277="","",AN277)</f>
        <v>0</v>
      </c>
      <c r="P277" s="75" t="str">
        <f t="shared" ref="P277:P290" si="335">IF(AO277=0,"",AO277)</f>
        <v/>
      </c>
      <c r="Q277" s="345">
        <f>IF(AP277="","",AP277)</f>
        <v>0</v>
      </c>
      <c r="R277" s="75" t="str">
        <f t="shared" ref="R277:R290" si="336">IF(AQ277=0,"",AQ277)</f>
        <v/>
      </c>
      <c r="S277" s="345">
        <f>IF(AR277="","",AR277)</f>
        <v>0</v>
      </c>
      <c r="T277" s="75" t="str">
        <f t="shared" ref="T277:T290" si="337">IF(AS277=0,"",AS277)</f>
        <v/>
      </c>
      <c r="U277" s="345">
        <f>IF(AT277="","",AT277)</f>
        <v>1</v>
      </c>
      <c r="V277" s="75">
        <f t="shared" ref="V277:V290" si="338">IF(AU277=0,"",AU277)</f>
        <v>615</v>
      </c>
      <c r="W277" s="345">
        <f>IF(AV277="","",AV277)</f>
        <v>4</v>
      </c>
      <c r="Z277" s="348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0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4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6"/>
      <c r="F278" s="78" t="str">
        <f t="shared" si="331"/>
        <v/>
      </c>
      <c r="G278" s="346"/>
      <c r="H278" s="78" t="str">
        <f t="shared" si="332"/>
        <v/>
      </c>
      <c r="I278" s="346"/>
      <c r="J278" s="78" t="str">
        <f t="shared" si="333"/>
        <v/>
      </c>
      <c r="K278" s="346"/>
      <c r="L278" s="78">
        <f t="shared" si="334"/>
        <v>186</v>
      </c>
      <c r="M278" s="346"/>
      <c r="N278" s="78">
        <f t="shared" ref="N278:N290" si="353">IF(AM278=0,"",AM278)</f>
        <v>149</v>
      </c>
      <c r="O278" s="346"/>
      <c r="P278" s="78">
        <f t="shared" si="335"/>
        <v>194</v>
      </c>
      <c r="Q278" s="346"/>
      <c r="R278" s="78" t="str">
        <f t="shared" si="336"/>
        <v/>
      </c>
      <c r="S278" s="346"/>
      <c r="T278" s="78" t="str">
        <f t="shared" si="337"/>
        <v/>
      </c>
      <c r="U278" s="346"/>
      <c r="V278" s="78">
        <f t="shared" si="338"/>
        <v>529</v>
      </c>
      <c r="W278" s="346"/>
      <c r="Z278" s="349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5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7"/>
      <c r="F279" s="69" t="str">
        <f t="shared" si="331"/>
        <v/>
      </c>
      <c r="G279" s="347"/>
      <c r="H279" s="69" t="str">
        <f t="shared" si="332"/>
        <v/>
      </c>
      <c r="I279" s="347"/>
      <c r="J279" s="69" t="str">
        <f t="shared" si="333"/>
        <v/>
      </c>
      <c r="K279" s="347"/>
      <c r="L279" s="69" t="str">
        <f t="shared" si="334"/>
        <v/>
      </c>
      <c r="M279" s="347"/>
      <c r="N279" s="69" t="str">
        <f t="shared" si="353"/>
        <v/>
      </c>
      <c r="O279" s="347"/>
      <c r="P279" s="69" t="str">
        <f t="shared" si="335"/>
        <v/>
      </c>
      <c r="Q279" s="347"/>
      <c r="R279" s="69">
        <f t="shared" si="336"/>
        <v>170</v>
      </c>
      <c r="S279" s="347"/>
      <c r="T279" s="69">
        <f t="shared" si="337"/>
        <v>192</v>
      </c>
      <c r="U279" s="347"/>
      <c r="V279" s="69">
        <f t="shared" si="338"/>
        <v>362</v>
      </c>
      <c r="W279" s="347"/>
      <c r="Z279" s="350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3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5">
        <f>IF(AD280="","",AD280)</f>
        <v>0</v>
      </c>
      <c r="F280" s="75">
        <f t="shared" si="331"/>
        <v>146</v>
      </c>
      <c r="G280" s="345">
        <f>IF(AF280="","",AF280)</f>
        <v>0</v>
      </c>
      <c r="H280" s="75" t="str">
        <f t="shared" si="332"/>
        <v/>
      </c>
      <c r="I280" s="345">
        <f>IF(AH280="","",AH280)</f>
        <v>0</v>
      </c>
      <c r="J280" s="75" t="str">
        <f t="shared" si="333"/>
        <v/>
      </c>
      <c r="K280" s="345">
        <f>IF(AJ280="","",AJ280)</f>
        <v>1</v>
      </c>
      <c r="L280" s="75" t="str">
        <f t="shared" si="334"/>
        <v/>
      </c>
      <c r="M280" s="345">
        <f>IF(AL280="","",AL280)</f>
        <v>0</v>
      </c>
      <c r="N280" s="75" t="str">
        <f t="shared" si="353"/>
        <v/>
      </c>
      <c r="O280" s="345">
        <f>IF(AN280="","",AN280)</f>
        <v>0</v>
      </c>
      <c r="P280" s="75" t="str">
        <f t="shared" si="335"/>
        <v/>
      </c>
      <c r="Q280" s="345">
        <f>IF(AP280="","",AP280)</f>
        <v>0</v>
      </c>
      <c r="R280" s="75" t="str">
        <f t="shared" si="336"/>
        <v/>
      </c>
      <c r="S280" s="345">
        <f>IF(AR280="","",AR280)</f>
        <v>0</v>
      </c>
      <c r="T280" s="75" t="str">
        <f t="shared" si="337"/>
        <v/>
      </c>
      <c r="U280" s="345">
        <f>IF(AT280="","",AT280)</f>
        <v>1</v>
      </c>
      <c r="V280" s="75">
        <f t="shared" si="338"/>
        <v>338</v>
      </c>
      <c r="W280" s="345">
        <f>IF(AV280="","",AV280)</f>
        <v>2</v>
      </c>
      <c r="Z280" s="348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4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6"/>
      <c r="F281" s="78" t="str">
        <f t="shared" si="331"/>
        <v/>
      </c>
      <c r="G281" s="346"/>
      <c r="H281" s="78">
        <f t="shared" si="332"/>
        <v>160</v>
      </c>
      <c r="I281" s="346"/>
      <c r="J281" s="78">
        <f t="shared" si="333"/>
        <v>151</v>
      </c>
      <c r="K281" s="346"/>
      <c r="L281" s="78">
        <f t="shared" si="334"/>
        <v>158</v>
      </c>
      <c r="M281" s="346"/>
      <c r="N281" s="78">
        <f t="shared" si="353"/>
        <v>129</v>
      </c>
      <c r="O281" s="346"/>
      <c r="P281" s="78" t="str">
        <f t="shared" si="335"/>
        <v/>
      </c>
      <c r="Q281" s="346"/>
      <c r="R281" s="78" t="str">
        <f t="shared" si="336"/>
        <v/>
      </c>
      <c r="S281" s="346"/>
      <c r="T281" s="78" t="str">
        <f t="shared" si="337"/>
        <v/>
      </c>
      <c r="U281" s="346"/>
      <c r="V281" s="78">
        <f t="shared" si="338"/>
        <v>598</v>
      </c>
      <c r="W281" s="346"/>
      <c r="Z281" s="349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5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7"/>
      <c r="F282" s="69" t="str">
        <f t="shared" si="331"/>
        <v/>
      </c>
      <c r="G282" s="347"/>
      <c r="H282" s="69" t="str">
        <f t="shared" si="332"/>
        <v/>
      </c>
      <c r="I282" s="347"/>
      <c r="J282" s="69" t="str">
        <f t="shared" si="333"/>
        <v/>
      </c>
      <c r="K282" s="347"/>
      <c r="L282" s="69" t="str">
        <f t="shared" si="334"/>
        <v/>
      </c>
      <c r="M282" s="347"/>
      <c r="N282" s="69" t="str">
        <f t="shared" si="353"/>
        <v/>
      </c>
      <c r="O282" s="347"/>
      <c r="P282" s="69">
        <f t="shared" si="335"/>
        <v>147</v>
      </c>
      <c r="Q282" s="347"/>
      <c r="R282" s="69">
        <f t="shared" si="336"/>
        <v>152</v>
      </c>
      <c r="S282" s="347"/>
      <c r="T282" s="69">
        <f t="shared" si="337"/>
        <v>191</v>
      </c>
      <c r="U282" s="347"/>
      <c r="V282" s="69">
        <f t="shared" si="338"/>
        <v>490</v>
      </c>
      <c r="W282" s="347"/>
      <c r="Z282" s="350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3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5">
        <f>IF(AD283="","",AD283)</f>
        <v>1</v>
      </c>
      <c r="F283" s="75">
        <f t="shared" si="331"/>
        <v>172</v>
      </c>
      <c r="G283" s="345">
        <f>IF(AF283="","",AF283)</f>
        <v>0</v>
      </c>
      <c r="H283" s="75">
        <f t="shared" si="332"/>
        <v>202</v>
      </c>
      <c r="I283" s="345">
        <f>IF(AH283="","",AH283)</f>
        <v>1</v>
      </c>
      <c r="J283" s="75">
        <f t="shared" si="333"/>
        <v>157</v>
      </c>
      <c r="K283" s="345">
        <f>IF(AJ283="","",AJ283)</f>
        <v>0</v>
      </c>
      <c r="L283" s="75">
        <f t="shared" si="334"/>
        <v>170</v>
      </c>
      <c r="M283" s="345">
        <f>IF(AL283="","",AL283)</f>
        <v>0</v>
      </c>
      <c r="N283" s="75">
        <f t="shared" si="353"/>
        <v>173</v>
      </c>
      <c r="O283" s="345">
        <f>IF(AN283="","",AN283)</f>
        <v>1</v>
      </c>
      <c r="P283" s="75">
        <f t="shared" si="335"/>
        <v>187</v>
      </c>
      <c r="Q283" s="345">
        <f>IF(AP283="","",AP283)</f>
        <v>1</v>
      </c>
      <c r="R283" s="75">
        <f t="shared" si="336"/>
        <v>211</v>
      </c>
      <c r="S283" s="345">
        <f>IF(AR283="","",AR283)</f>
        <v>1</v>
      </c>
      <c r="T283" s="75">
        <f t="shared" si="337"/>
        <v>155</v>
      </c>
      <c r="U283" s="345">
        <f>IF(AT283="","",AT283)</f>
        <v>0</v>
      </c>
      <c r="V283" s="75">
        <f t="shared" si="338"/>
        <v>1639</v>
      </c>
      <c r="W283" s="345">
        <f>IF(AV283="","",AV283)</f>
        <v>5</v>
      </c>
      <c r="Z283" s="348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0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5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4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6"/>
      <c r="F284" s="78" t="str">
        <f t="shared" si="331"/>
        <v/>
      </c>
      <c r="G284" s="346"/>
      <c r="H284" s="78" t="str">
        <f t="shared" si="332"/>
        <v/>
      </c>
      <c r="I284" s="346"/>
      <c r="J284" s="78" t="str">
        <f t="shared" si="333"/>
        <v/>
      </c>
      <c r="K284" s="346"/>
      <c r="L284" s="78" t="str">
        <f t="shared" si="334"/>
        <v/>
      </c>
      <c r="M284" s="346"/>
      <c r="N284" s="78" t="str">
        <f t="shared" si="353"/>
        <v/>
      </c>
      <c r="O284" s="346"/>
      <c r="P284" s="78" t="str">
        <f t="shared" si="335"/>
        <v/>
      </c>
      <c r="Q284" s="346"/>
      <c r="R284" s="78" t="str">
        <f t="shared" si="336"/>
        <v/>
      </c>
      <c r="S284" s="346"/>
      <c r="T284" s="78" t="str">
        <f t="shared" si="337"/>
        <v/>
      </c>
      <c r="U284" s="346"/>
      <c r="V284" s="78" t="str">
        <f t="shared" si="338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5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7"/>
      <c r="F285" s="69" t="str">
        <f t="shared" si="331"/>
        <v/>
      </c>
      <c r="G285" s="347"/>
      <c r="H285" s="69" t="str">
        <f t="shared" si="332"/>
        <v/>
      </c>
      <c r="I285" s="347"/>
      <c r="J285" s="69" t="str">
        <f t="shared" si="333"/>
        <v/>
      </c>
      <c r="K285" s="347"/>
      <c r="L285" s="69" t="str">
        <f t="shared" si="334"/>
        <v/>
      </c>
      <c r="M285" s="347"/>
      <c r="N285" s="69" t="str">
        <f t="shared" si="353"/>
        <v/>
      </c>
      <c r="O285" s="347"/>
      <c r="P285" s="69" t="str">
        <f t="shared" si="335"/>
        <v/>
      </c>
      <c r="Q285" s="347"/>
      <c r="R285" s="69" t="str">
        <f t="shared" si="336"/>
        <v/>
      </c>
      <c r="S285" s="347"/>
      <c r="T285" s="69" t="str">
        <f t="shared" si="337"/>
        <v/>
      </c>
      <c r="U285" s="347"/>
      <c r="V285" s="69" t="str">
        <f t="shared" si="338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3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5">
        <f>IF(AD286="","",AD286)</f>
        <v>0</v>
      </c>
      <c r="F286" s="75">
        <f t="shared" si="331"/>
        <v>166</v>
      </c>
      <c r="G286" s="345">
        <f>IF(AF286="","",AF286)</f>
        <v>1</v>
      </c>
      <c r="H286" s="75">
        <f t="shared" si="332"/>
        <v>179</v>
      </c>
      <c r="I286" s="345">
        <f>IF(AH286="","",AH286)</f>
        <v>1</v>
      </c>
      <c r="J286" s="75">
        <f t="shared" si="333"/>
        <v>189</v>
      </c>
      <c r="K286" s="345">
        <f>IF(AJ286="","",AJ286)</f>
        <v>0.5</v>
      </c>
      <c r="L286" s="75">
        <f t="shared" si="334"/>
        <v>160</v>
      </c>
      <c r="M286" s="345">
        <f>IF(AL286="","",AL286)</f>
        <v>0</v>
      </c>
      <c r="N286" s="75">
        <f t="shared" si="353"/>
        <v>204</v>
      </c>
      <c r="O286" s="345">
        <f>IF(AN286="","",AN286)</f>
        <v>1</v>
      </c>
      <c r="P286" s="75">
        <f t="shared" si="335"/>
        <v>190</v>
      </c>
      <c r="Q286" s="345">
        <f>IF(AP286="","",AP286)</f>
        <v>0</v>
      </c>
      <c r="R286" s="75">
        <f t="shared" si="336"/>
        <v>188</v>
      </c>
      <c r="S286" s="345">
        <f>IF(AR286="","",AR286)</f>
        <v>1</v>
      </c>
      <c r="T286" s="75">
        <f t="shared" si="337"/>
        <v>168</v>
      </c>
      <c r="U286" s="345">
        <f>IF(AT286="","",AT286)</f>
        <v>0</v>
      </c>
      <c r="V286" s="75">
        <f t="shared" si="338"/>
        <v>1647</v>
      </c>
      <c r="W286" s="345">
        <f>IF(AV286="","",AV286)</f>
        <v>4.5</v>
      </c>
      <c r="Z286" s="348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0.5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4.5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4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6"/>
      <c r="F287" s="78" t="str">
        <f t="shared" si="331"/>
        <v/>
      </c>
      <c r="G287" s="346"/>
      <c r="H287" s="78" t="str">
        <f t="shared" si="332"/>
        <v/>
      </c>
      <c r="I287" s="346"/>
      <c r="J287" s="78" t="str">
        <f t="shared" si="333"/>
        <v/>
      </c>
      <c r="K287" s="346"/>
      <c r="L287" s="78" t="str">
        <f t="shared" si="334"/>
        <v/>
      </c>
      <c r="M287" s="346"/>
      <c r="N287" s="78" t="str">
        <f t="shared" si="353"/>
        <v/>
      </c>
      <c r="O287" s="346"/>
      <c r="P287" s="78" t="str">
        <f t="shared" si="335"/>
        <v/>
      </c>
      <c r="Q287" s="346"/>
      <c r="R287" s="78" t="str">
        <f t="shared" si="336"/>
        <v/>
      </c>
      <c r="S287" s="346"/>
      <c r="T287" s="78" t="str">
        <f t="shared" si="337"/>
        <v/>
      </c>
      <c r="U287" s="346"/>
      <c r="V287" s="78" t="str">
        <f t="shared" si="338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5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7"/>
      <c r="F288" s="69" t="str">
        <f t="shared" si="331"/>
        <v/>
      </c>
      <c r="G288" s="347"/>
      <c r="H288" s="69" t="str">
        <f t="shared" si="332"/>
        <v/>
      </c>
      <c r="I288" s="347"/>
      <c r="J288" s="69" t="str">
        <f t="shared" si="333"/>
        <v/>
      </c>
      <c r="K288" s="347"/>
      <c r="L288" s="69" t="str">
        <f t="shared" si="334"/>
        <v/>
      </c>
      <c r="M288" s="347"/>
      <c r="N288" s="69" t="str">
        <f t="shared" si="353"/>
        <v/>
      </c>
      <c r="O288" s="347"/>
      <c r="P288" s="69" t="str">
        <f t="shared" si="335"/>
        <v/>
      </c>
      <c r="Q288" s="347"/>
      <c r="R288" s="69" t="str">
        <f t="shared" si="336"/>
        <v/>
      </c>
      <c r="S288" s="347"/>
      <c r="T288" s="69" t="str">
        <f t="shared" si="337"/>
        <v/>
      </c>
      <c r="U288" s="347"/>
      <c r="V288" s="69" t="str">
        <f t="shared" si="338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0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1.5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25.5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1.5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25.5</v>
      </c>
      <c r="AW290" s="101"/>
      <c r="AX290" s="102"/>
      <c r="BA290" s="212">
        <f>+AV290</f>
        <v>25.5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25.506218000000001</v>
      </c>
      <c r="BR290" s="214">
        <f>RANK(BQ290,BQ:BQ)</f>
        <v>6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3">
        <f t="shared" ref="D292:M294" si="366">IF(AC292=0,"",AC292)</f>
        <v>8</v>
      </c>
      <c r="E292" s="353" t="str">
        <f t="shared" si="366"/>
        <v/>
      </c>
      <c r="F292" s="353">
        <f t="shared" si="366"/>
        <v>3</v>
      </c>
      <c r="G292" s="353" t="str">
        <f t="shared" si="366"/>
        <v/>
      </c>
      <c r="H292" s="353">
        <f t="shared" si="366"/>
        <v>7</v>
      </c>
      <c r="I292" s="353" t="str">
        <f t="shared" si="366"/>
        <v/>
      </c>
      <c r="J292" s="353">
        <f t="shared" si="366"/>
        <v>4</v>
      </c>
      <c r="K292" s="353" t="str">
        <f t="shared" si="366"/>
        <v/>
      </c>
      <c r="L292" s="353">
        <f t="shared" si="366"/>
        <v>1</v>
      </c>
      <c r="M292" s="353" t="str">
        <f t="shared" si="366"/>
        <v/>
      </c>
      <c r="N292" s="353">
        <f t="shared" ref="N292:U294" si="367">IF(AM292=0,"",AM292)</f>
        <v>9</v>
      </c>
      <c r="O292" s="353" t="str">
        <f t="shared" si="367"/>
        <v/>
      </c>
      <c r="P292" s="353">
        <f t="shared" si="367"/>
        <v>2</v>
      </c>
      <c r="Q292" s="353" t="str">
        <f t="shared" si="367"/>
        <v/>
      </c>
      <c r="R292" s="353">
        <f t="shared" si="367"/>
        <v>5</v>
      </c>
      <c r="S292" s="353" t="str">
        <f t="shared" si="367"/>
        <v/>
      </c>
      <c r="T292" s="353">
        <f t="shared" si="367"/>
        <v>6</v>
      </c>
      <c r="U292" s="353" t="str">
        <f t="shared" si="367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VLOOKUP($AA272,Schlüssel!$A$5:$K$14,3)</f>
        <v>8</v>
      </c>
      <c r="AD292" s="368"/>
      <c r="AE292" s="367">
        <f>VLOOKUP($AA272,Schlüssel!$A$5:$K$14,4)</f>
        <v>3</v>
      </c>
      <c r="AF292" s="368"/>
      <c r="AG292" s="367">
        <f>VLOOKUP($AA272,Schlüssel!$A$5:$K$14,5)</f>
        <v>7</v>
      </c>
      <c r="AH292" s="368"/>
      <c r="AI292" s="367">
        <f>VLOOKUP($AA272,Schlüssel!$A$5:$K$14,6)</f>
        <v>4</v>
      </c>
      <c r="AJ292" s="368"/>
      <c r="AK292" s="367">
        <f>VLOOKUP($AA272,Schlüssel!$A$5:$K$14,7)</f>
        <v>1</v>
      </c>
      <c r="AL292" s="368"/>
      <c r="AM292" s="367">
        <f>VLOOKUP($AA272,Schlüssel!$A$5:$K$14,8)</f>
        <v>9</v>
      </c>
      <c r="AN292" s="368"/>
      <c r="AO292" s="367">
        <f>VLOOKUP($AA272,Schlüssel!$A$5:$K$14,9)</f>
        <v>2</v>
      </c>
      <c r="AP292" s="368"/>
      <c r="AQ292" s="367">
        <f>VLOOKUP($AA272,Schlüssel!$A$5:$K$14,10)</f>
        <v>5</v>
      </c>
      <c r="AR292" s="368"/>
      <c r="AS292" s="367">
        <f>VLOOKUP($AA272,Schlüssel!$A$5:$K$14,11)</f>
        <v>6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5" t="str">
        <f t="shared" si="366"/>
        <v>EPA München 1</v>
      </c>
      <c r="E293" s="356" t="str">
        <f t="shared" si="366"/>
        <v/>
      </c>
      <c r="F293" s="355" t="str">
        <f t="shared" si="366"/>
        <v>Highroller Rosenheim</v>
      </c>
      <c r="G293" s="356" t="str">
        <f t="shared" si="366"/>
        <v/>
      </c>
      <c r="H293" s="355" t="str">
        <f t="shared" si="366"/>
        <v>Frankenpower Nürnberg</v>
      </c>
      <c r="I293" s="356" t="str">
        <f t="shared" si="366"/>
        <v/>
      </c>
      <c r="J293" s="355" t="str">
        <f t="shared" si="366"/>
        <v>BK München 3</v>
      </c>
      <c r="K293" s="356" t="str">
        <f t="shared" si="366"/>
        <v/>
      </c>
      <c r="L293" s="355" t="str">
        <f t="shared" si="366"/>
        <v>Praetoria Regensburg</v>
      </c>
      <c r="M293" s="356" t="str">
        <f t="shared" si="366"/>
        <v/>
      </c>
      <c r="N293" s="355" t="str">
        <f t="shared" si="367"/>
        <v>RW Lichtenhof 69 Stein 2</v>
      </c>
      <c r="O293" s="356" t="str">
        <f t="shared" si="367"/>
        <v/>
      </c>
      <c r="P293" s="355" t="str">
        <f t="shared" si="367"/>
        <v>BK München 2</v>
      </c>
      <c r="Q293" s="356" t="str">
        <f t="shared" si="367"/>
        <v/>
      </c>
      <c r="R293" s="355" t="str">
        <f t="shared" si="367"/>
        <v xml:space="preserve">Weiß Blau Unterföhring </v>
      </c>
      <c r="S293" s="356" t="str">
        <f t="shared" si="367"/>
        <v/>
      </c>
      <c r="T293" s="355" t="str">
        <f t="shared" si="367"/>
        <v>Phönix 03 Lauf</v>
      </c>
      <c r="U293" s="356" t="str">
        <f t="shared" si="367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Highroller Rosenheim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2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Phönix 03 Lauf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7" t="str">
        <f t="shared" si="366"/>
        <v/>
      </c>
      <c r="E294" s="357" t="str">
        <f t="shared" si="366"/>
        <v/>
      </c>
      <c r="F294" s="357" t="str">
        <f t="shared" si="366"/>
        <v/>
      </c>
      <c r="G294" s="357" t="str">
        <f t="shared" si="366"/>
        <v/>
      </c>
      <c r="H294" s="357" t="str">
        <f t="shared" si="366"/>
        <v/>
      </c>
      <c r="I294" s="357" t="str">
        <f t="shared" si="366"/>
        <v/>
      </c>
      <c r="J294" s="357" t="str">
        <f t="shared" si="366"/>
        <v/>
      </c>
      <c r="K294" s="357" t="str">
        <f t="shared" si="366"/>
        <v/>
      </c>
      <c r="L294" s="357" t="str">
        <f t="shared" si="366"/>
        <v/>
      </c>
      <c r="M294" s="357" t="str">
        <f t="shared" si="366"/>
        <v/>
      </c>
      <c r="N294" s="357" t="str">
        <f t="shared" si="367"/>
        <v/>
      </c>
      <c r="O294" s="357" t="str">
        <f t="shared" si="367"/>
        <v/>
      </c>
      <c r="P294" s="357" t="str">
        <f t="shared" si="367"/>
        <v/>
      </c>
      <c r="Q294" s="357" t="str">
        <f t="shared" si="367"/>
        <v/>
      </c>
      <c r="R294" s="357" t="str">
        <f t="shared" si="367"/>
        <v/>
      </c>
      <c r="S294" s="357" t="str">
        <f t="shared" si="367"/>
        <v/>
      </c>
      <c r="T294" s="357" t="str">
        <f t="shared" si="367"/>
        <v/>
      </c>
      <c r="U294" s="358" t="str">
        <f t="shared" si="367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si="364"/>
        <v>Spieler 1</v>
      </c>
      <c r="C295" s="372" t="str">
        <f t="shared" si="365"/>
        <v/>
      </c>
      <c r="D295" s="359">
        <f>IF(AC295=301,"",AC295)</f>
        <v>128</v>
      </c>
      <c r="E295" s="359" t="str">
        <f>IF(AD295=0,"",AD295)</f>
        <v/>
      </c>
      <c r="F295" s="359">
        <f>IF(AE295=301,"",AE295)</f>
        <v>203</v>
      </c>
      <c r="G295" s="359" t="str">
        <f>IF(AF295=0,"",AF295)</f>
        <v/>
      </c>
      <c r="H295" s="359">
        <f>IF(AG295=301,"",AG295)</f>
        <v>124</v>
      </c>
      <c r="I295" s="359" t="str">
        <f>IF(AH295=0,"",AH295)</f>
        <v/>
      </c>
      <c r="J295" s="359">
        <f>IF(AI295=301,"",AI295)</f>
        <v>222</v>
      </c>
      <c r="K295" s="359" t="str">
        <f>IF(AJ295=0,"",AJ295)</f>
        <v/>
      </c>
      <c r="L295" s="359">
        <f>IF(AK295=301,"",AK295)</f>
        <v>178</v>
      </c>
      <c r="M295" s="359" t="str">
        <f>IF(AL295=0,"",AL295)</f>
        <v/>
      </c>
      <c r="N295" s="359">
        <f>IF(AM295=301,"",AM295)</f>
        <v>182</v>
      </c>
      <c r="O295" s="359" t="str">
        <f>IF(AN295=0,"",AN295)</f>
        <v/>
      </c>
      <c r="P295" s="359">
        <f>IF(AO295=301,"",AO295)</f>
        <v>237</v>
      </c>
      <c r="Q295" s="359" t="str">
        <f>IF(AP295=0,"",AP295)</f>
        <v/>
      </c>
      <c r="R295" s="359">
        <f>IF(AQ295=301,"",AQ295)</f>
        <v>171</v>
      </c>
      <c r="S295" s="359" t="str">
        <f>IF(AR295=0,"",AR295)</f>
        <v/>
      </c>
      <c r="T295" s="359">
        <f>IF(AS295=301,"",AS295)</f>
        <v>156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128</v>
      </c>
      <c r="AD295" s="366"/>
      <c r="AE295" s="365">
        <f>ABS(INDEX(AE:AE,MATCH(AE292,$AA:$AA,0)+5)+INDEX(AE:AE,MATCH(AE292,$AA:$AA,0)+6)+INDEX(AE:AE,MATCH(AE292,$AA:$AA,0)+7))</f>
        <v>203</v>
      </c>
      <c r="AF295" s="366"/>
      <c r="AG295" s="365">
        <f>ABS(INDEX(AG:AG,MATCH(AG292,$AA:$AA,0)+5)+INDEX(AG:AG,MATCH(AG292,$AA:$AA,0)+6)+INDEX(AG:AG,MATCH(AG292,$AA:$AA,0)+7))</f>
        <v>124</v>
      </c>
      <c r="AH295" s="366"/>
      <c r="AI295" s="365">
        <f>ABS(INDEX(AI:AI,MATCH(AI292,$AA:$AA,0)+5)+INDEX(AI:AI,MATCH(AI292,$AA:$AA,0)+6)+INDEX(AI:AI,MATCH(AI292,$AA:$AA,0)+7))</f>
        <v>222</v>
      </c>
      <c r="AJ295" s="366"/>
      <c r="AK295" s="365">
        <f>ABS(INDEX(AK:AK,MATCH(AK292,$AA:$AA,0)+5)+INDEX(AK:AK,MATCH(AK292,$AA:$AA,0)+6)+INDEX(AK:AK,MATCH(AK292,$AA:$AA,0)+7))</f>
        <v>178</v>
      </c>
      <c r="AL295" s="366"/>
      <c r="AM295" s="365">
        <f>ABS(INDEX(AM:AM,MATCH(AM292,$AA:$AA,0)+5)+INDEX(AM:AM,MATCH(AM292,$AA:$AA,0)+6)+INDEX(AM:AM,MATCH(AM292,$AA:$AA,0)+7))</f>
        <v>182</v>
      </c>
      <c r="AN295" s="366"/>
      <c r="AO295" s="365">
        <f>ABS(INDEX(AO:AO,MATCH(AO292,$AA:$AA,0)+5)+INDEX(AO:AO,MATCH(AO292,$AA:$AA,0)+6)+INDEX(AO:AO,MATCH(AO292,$AA:$AA,0)+7))</f>
        <v>237</v>
      </c>
      <c r="AP295" s="366"/>
      <c r="AQ295" s="365">
        <f>ABS(INDEX(AQ:AQ,MATCH(AQ292,$AA:$AA,0)+5)+INDEX(AQ:AQ,MATCH(AQ292,$AA:$AA,0)+6)+INDEX(AQ:AQ,MATCH(AQ292,$AA:$AA,0)+7))</f>
        <v>171</v>
      </c>
      <c r="AR295" s="366"/>
      <c r="AS295" s="365">
        <f>ABS(INDEX(AS:AS,MATCH(AS292,$AA:$AA,0)+5)+INDEX(AS:AS,MATCH(AS292,$AA:$AA,0)+6)+INDEX(AS:AS,MATCH(AS292,$AA:$AA,0)+7))</f>
        <v>156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64"/>
        <v>Spieler 2</v>
      </c>
      <c r="C296" s="372" t="str">
        <f t="shared" si="365"/>
        <v/>
      </c>
      <c r="D296" s="359">
        <f>IF(AC296=301,"",AC296)</f>
        <v>193</v>
      </c>
      <c r="E296" s="359" t="str">
        <f>IF(AD296=0,"",AD296)</f>
        <v/>
      </c>
      <c r="F296" s="359">
        <f>IF(AE296=301,"",AE296)</f>
        <v>156</v>
      </c>
      <c r="G296" s="359" t="str">
        <f>IF(AF296=0,"",AF296)</f>
        <v/>
      </c>
      <c r="H296" s="359">
        <f>IF(AG296=301,"",AG296)</f>
        <v>167</v>
      </c>
      <c r="I296" s="359" t="str">
        <f>IF(AH296=0,"",AH296)</f>
        <v/>
      </c>
      <c r="J296" s="359">
        <f>IF(AI296=301,"",AI296)</f>
        <v>148</v>
      </c>
      <c r="K296" s="359" t="str">
        <f>IF(AJ296=0,"",AJ296)</f>
        <v/>
      </c>
      <c r="L296" s="359">
        <f>IF(AK296=301,"",AK296)</f>
        <v>210</v>
      </c>
      <c r="M296" s="359" t="str">
        <f>IF(AL296=0,"",AL296)</f>
        <v/>
      </c>
      <c r="N296" s="359">
        <f>IF(AM296=301,"",AM296)</f>
        <v>164</v>
      </c>
      <c r="O296" s="359" t="str">
        <f>IF(AN296=0,"",AN296)</f>
        <v/>
      </c>
      <c r="P296" s="359">
        <f>IF(AO296=301,"",AO296)</f>
        <v>155</v>
      </c>
      <c r="Q296" s="359" t="str">
        <f>IF(AP296=0,"",AP296)</f>
        <v/>
      </c>
      <c r="R296" s="359">
        <f>IF(AQ296=301,"",AQ296)</f>
        <v>161</v>
      </c>
      <c r="S296" s="359" t="str">
        <f>IF(AR296=0,"",AR296)</f>
        <v/>
      </c>
      <c r="T296" s="359">
        <f>IF(AS296=301,"",AS296)</f>
        <v>159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193</v>
      </c>
      <c r="AD296" s="364"/>
      <c r="AE296" s="363">
        <f>ABS(INDEX(AE:AE,MATCH(AE292,$AA:$AA,0)+8)+INDEX(AE:AE,MATCH(AE292,$AA:$AA,0)+9)+INDEX(AE:AE,MATCH(AE292,$AA:$AA,0)+10))</f>
        <v>156</v>
      </c>
      <c r="AF296" s="364"/>
      <c r="AG296" s="363">
        <f>ABS(INDEX(AG:AG,MATCH(AG292,$AA:$AA,0)+8)+INDEX(AG:AG,MATCH(AG292,$AA:$AA,0)+9)+INDEX(AG:AG,MATCH(AG292,$AA:$AA,0)+10))</f>
        <v>167</v>
      </c>
      <c r="AH296" s="364"/>
      <c r="AI296" s="363">
        <f>ABS(INDEX(AI:AI,MATCH(AI292,$AA:$AA,0)+8)+INDEX(AI:AI,MATCH(AI292,$AA:$AA,0)+9)+INDEX(AI:AI,MATCH(AI292,$AA:$AA,0)+10))</f>
        <v>148</v>
      </c>
      <c r="AJ296" s="364"/>
      <c r="AK296" s="363">
        <f>ABS(INDEX(AK:AK,MATCH(AK292,$AA:$AA,0)+8)+INDEX(AK:AK,MATCH(AK292,$AA:$AA,0)+9)+INDEX(AK:AK,MATCH(AK292,$AA:$AA,0)+10))</f>
        <v>210</v>
      </c>
      <c r="AL296" s="364"/>
      <c r="AM296" s="363">
        <f>ABS(INDEX(AM:AM,MATCH(AM292,$AA:$AA,0)+8)+INDEX(AM:AM,MATCH(AM292,$AA:$AA,0)+9)+INDEX(AM:AM,MATCH(AM292,$AA:$AA,0)+10))</f>
        <v>164</v>
      </c>
      <c r="AN296" s="364"/>
      <c r="AO296" s="363">
        <f>ABS(INDEX(AO:AO,MATCH(AO292,$AA:$AA,0)+8)+INDEX(AO:AO,MATCH(AO292,$AA:$AA,0)+9)+INDEX(AO:AO,MATCH(AO292,$AA:$AA,0)+10))</f>
        <v>155</v>
      </c>
      <c r="AP296" s="364"/>
      <c r="AQ296" s="363">
        <f>ABS(INDEX(AQ:AQ,MATCH(AQ292,$AA:$AA,0)+8)+INDEX(AQ:AQ,MATCH(AQ292,$AA:$AA,0)+9)+INDEX(AQ:AQ,MATCH(AQ292,$AA:$AA,0)+10))</f>
        <v>161</v>
      </c>
      <c r="AR296" s="364"/>
      <c r="AS296" s="363">
        <f>ABS(INDEX(AS:AS,MATCH(AS292,$AA:$AA,0)+8)+INDEX(AS:AS,MATCH(AS292,$AA:$AA,0)+9)+INDEX(AS:AS,MATCH(AS292,$AA:$AA,0)+10))</f>
        <v>159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64"/>
        <v>Spieler 3</v>
      </c>
      <c r="C297" s="372" t="str">
        <f t="shared" si="365"/>
        <v/>
      </c>
      <c r="D297" s="359">
        <f>IF(AC297=301,"",AC297)</f>
        <v>189</v>
      </c>
      <c r="E297" s="359" t="str">
        <f>IF(AD297=0,"",AD297)</f>
        <v/>
      </c>
      <c r="F297" s="359">
        <f>IF(AE297=301,"",AE297)</f>
        <v>216</v>
      </c>
      <c r="G297" s="359" t="str">
        <f>IF(AF297=0,"",AF297)</f>
        <v/>
      </c>
      <c r="H297" s="359">
        <f>IF(AG297=301,"",AG297)</f>
        <v>165</v>
      </c>
      <c r="I297" s="359" t="str">
        <f>IF(AH297=0,"",AH297)</f>
        <v/>
      </c>
      <c r="J297" s="359">
        <f>IF(AI297=301,"",AI297)</f>
        <v>163</v>
      </c>
      <c r="K297" s="359" t="str">
        <f>IF(AJ297=0,"",AJ297)</f>
        <v/>
      </c>
      <c r="L297" s="359">
        <f>IF(AK297=301,"",AK297)</f>
        <v>230</v>
      </c>
      <c r="M297" s="359" t="str">
        <f>IF(AL297=0,"",AL297)</f>
        <v/>
      </c>
      <c r="N297" s="359">
        <f>IF(AM297=301,"",AM297)</f>
        <v>135</v>
      </c>
      <c r="O297" s="359" t="str">
        <f>IF(AN297=0,"",AN297)</f>
        <v/>
      </c>
      <c r="P297" s="359">
        <f>IF(AO297=301,"",AO297)</f>
        <v>182</v>
      </c>
      <c r="Q297" s="359" t="str">
        <f>IF(AP297=0,"",AP297)</f>
        <v/>
      </c>
      <c r="R297" s="359">
        <f>IF(AQ297=301,"",AQ297)</f>
        <v>147</v>
      </c>
      <c r="S297" s="359" t="str">
        <f>IF(AR297=0,"",AR297)</f>
        <v/>
      </c>
      <c r="T297" s="359">
        <f>IF(AS297=301,"",AS297)</f>
        <v>190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189</v>
      </c>
      <c r="AD297" s="364"/>
      <c r="AE297" s="363">
        <f>ABS(INDEX(AE:AE,MATCH(AE292,$AA:$AA,0)+11)+INDEX(AE:AE,MATCH(AE292,$AA:$AA,0)+12)+INDEX(AE:AE,MATCH(AE292,$AA:$AA,0)+13))</f>
        <v>216</v>
      </c>
      <c r="AF297" s="364"/>
      <c r="AG297" s="363">
        <f>ABS(INDEX(AG:AG,MATCH(AG292,$AA:$AA,0)+11)+INDEX(AG:AG,MATCH(AG292,$AA:$AA,0)+12)+INDEX(AG:AG,MATCH(AG292,$AA:$AA,0)+13))</f>
        <v>165</v>
      </c>
      <c r="AH297" s="364"/>
      <c r="AI297" s="363">
        <f>ABS(INDEX(AI:AI,MATCH(AI292,$AA:$AA,0)+11)+INDEX(AI:AI,MATCH(AI292,$AA:$AA,0)+12)+INDEX(AI:AI,MATCH(AI292,$AA:$AA,0)+13))</f>
        <v>163</v>
      </c>
      <c r="AJ297" s="364"/>
      <c r="AK297" s="363">
        <f>ABS(INDEX(AK:AK,MATCH(AK292,$AA:$AA,0)+11)+INDEX(AK:AK,MATCH(AK292,$AA:$AA,0)+12)+INDEX(AK:AK,MATCH(AK292,$AA:$AA,0)+13))</f>
        <v>230</v>
      </c>
      <c r="AL297" s="364"/>
      <c r="AM297" s="363">
        <f>ABS(INDEX(AM:AM,MATCH(AM292,$AA:$AA,0)+11)+INDEX(AM:AM,MATCH(AM292,$AA:$AA,0)+12)+INDEX(AM:AM,MATCH(AM292,$AA:$AA,0)+13))</f>
        <v>135</v>
      </c>
      <c r="AN297" s="364"/>
      <c r="AO297" s="363">
        <f>ABS(INDEX(AO:AO,MATCH(AO292,$AA:$AA,0)+11)+INDEX(AO:AO,MATCH(AO292,$AA:$AA,0)+12)+INDEX(AO:AO,MATCH(AO292,$AA:$AA,0)+13))</f>
        <v>182</v>
      </c>
      <c r="AP297" s="364"/>
      <c r="AQ297" s="363">
        <f>ABS(INDEX(AQ:AQ,MATCH(AQ292,$AA:$AA,0)+11)+INDEX(AQ:AQ,MATCH(AQ292,$AA:$AA,0)+12)+INDEX(AQ:AQ,MATCH(AQ292,$AA:$AA,0)+13))</f>
        <v>147</v>
      </c>
      <c r="AR297" s="364"/>
      <c r="AS297" s="363">
        <f>ABS(INDEX(AS:AS,MATCH(AS292,$AA:$AA,0)+11)+INDEX(AS:AS,MATCH(AS292,$AA:$AA,0)+12)+INDEX(AS:AS,MATCH(AS292,$AA:$AA,0)+13))</f>
        <v>190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64"/>
        <v>Spieler 4</v>
      </c>
      <c r="C298" s="372" t="str">
        <f t="shared" si="365"/>
        <v/>
      </c>
      <c r="D298" s="359">
        <f>IF(AC298=301,"",AC298)</f>
        <v>208</v>
      </c>
      <c r="E298" s="359" t="str">
        <f>IF(AD298=0,"",AD298)</f>
        <v/>
      </c>
      <c r="F298" s="359">
        <f>IF(AE298=301,"",AE298)</f>
        <v>165</v>
      </c>
      <c r="G298" s="359" t="str">
        <f>IF(AF298=0,"",AF298)</f>
        <v/>
      </c>
      <c r="H298" s="359">
        <f>IF(AG298=301,"",AG298)</f>
        <v>149</v>
      </c>
      <c r="I298" s="359" t="str">
        <f>IF(AH298=0,"",AH298)</f>
        <v/>
      </c>
      <c r="J298" s="359">
        <f>IF(AI298=301,"",AI298)</f>
        <v>189</v>
      </c>
      <c r="K298" s="359" t="str">
        <f>IF(AJ298=0,"",AJ298)</f>
        <v/>
      </c>
      <c r="L298" s="359">
        <f>IF(AK298=301,"",AK298)</f>
        <v>166</v>
      </c>
      <c r="M298" s="359" t="str">
        <f>IF(AL298=0,"",AL298)</f>
        <v/>
      </c>
      <c r="N298" s="359">
        <f>IF(AM298=301,"",AM298)</f>
        <v>165</v>
      </c>
      <c r="O298" s="359" t="str">
        <f>IF(AN298=0,"",AN298)</f>
        <v/>
      </c>
      <c r="P298" s="359">
        <f>IF(AO298=301,"",AO298)</f>
        <v>211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171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208</v>
      </c>
      <c r="AD298" s="364"/>
      <c r="AE298" s="363">
        <f>ABS(INDEX(AE:AE,MATCH(AE292,$AA:$AA,0)+14)+INDEX(AE:AE,MATCH(AE292,$AA:$AA,0)+15)+INDEX(AE:AE,MATCH(AE292,$AA:$AA,0)+16))</f>
        <v>165</v>
      </c>
      <c r="AF298" s="364"/>
      <c r="AG298" s="363">
        <f>ABS(INDEX(AG:AG,MATCH(AG292,$AA:$AA,0)+14)+INDEX(AG:AG,MATCH(AG292,$AA:$AA,0)+15)+INDEX(AG:AG,MATCH(AG292,$AA:$AA,0)+16))</f>
        <v>149</v>
      </c>
      <c r="AH298" s="364"/>
      <c r="AI298" s="363">
        <f>ABS(INDEX(AI:AI,MATCH(AI292,$AA:$AA,0)+14)+INDEX(AI:AI,MATCH(AI292,$AA:$AA,0)+15)+INDEX(AI:AI,MATCH(AI292,$AA:$AA,0)+16))</f>
        <v>189</v>
      </c>
      <c r="AJ298" s="364"/>
      <c r="AK298" s="363">
        <f>ABS(INDEX(AK:AK,MATCH(AK292,$AA:$AA,0)+14)+INDEX(AK:AK,MATCH(AK292,$AA:$AA,0)+15)+INDEX(AK:AK,MATCH(AK292,$AA:$AA,0)+16))</f>
        <v>166</v>
      </c>
      <c r="AL298" s="364"/>
      <c r="AM298" s="363">
        <f>ABS(INDEX(AM:AM,MATCH(AM292,$AA:$AA,0)+14)+INDEX(AM:AM,MATCH(AM292,$AA:$AA,0)+15)+INDEX(AM:AM,MATCH(AM292,$AA:$AA,0)+16))</f>
        <v>165</v>
      </c>
      <c r="AN298" s="364"/>
      <c r="AO298" s="363">
        <f>ABS(INDEX(AO:AO,MATCH(AO292,$AA:$AA,0)+14)+INDEX(AO:AO,MATCH(AO292,$AA:$AA,0)+15)+INDEX(AO:AO,MATCH(AO292,$AA:$AA,0)+16))</f>
        <v>211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171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64"/>
        <v>Gesamt</v>
      </c>
      <c r="C299" s="344" t="str">
        <f t="shared" si="365"/>
        <v/>
      </c>
      <c r="D299" s="362">
        <f>IF(AC299=1505,"",AC299)</f>
        <v>718</v>
      </c>
      <c r="E299" s="362" t="str">
        <f>IF(AD299=0,"",AD299)</f>
        <v/>
      </c>
      <c r="F299" s="362">
        <f>IF(AE299=1505,"",AE299)</f>
        <v>740</v>
      </c>
      <c r="G299" s="362" t="str">
        <f>IF(AF299=0,"",AF299)</f>
        <v/>
      </c>
      <c r="H299" s="362">
        <f>IF(AG299=1505,"",AG299)</f>
        <v>605</v>
      </c>
      <c r="I299" s="362" t="str">
        <f>IF(AH299=0,"",AH299)</f>
        <v/>
      </c>
      <c r="J299" s="362">
        <f>IF(AI299=1505,"",AI299)</f>
        <v>722</v>
      </c>
      <c r="K299" s="362" t="str">
        <f>IF(AJ299=0,"",AJ299)</f>
        <v/>
      </c>
      <c r="L299" s="362">
        <f>IF(AK299=1505,"",AK299)</f>
        <v>784</v>
      </c>
      <c r="M299" s="362" t="str">
        <f>IF(AL299=0,"",AL299)</f>
        <v/>
      </c>
      <c r="N299" s="362">
        <f>IF(AM299=1505,"",AM299)</f>
        <v>646</v>
      </c>
      <c r="O299" s="362" t="str">
        <f>IF(AN299=0,"",AN299)</f>
        <v/>
      </c>
      <c r="P299" s="362">
        <f>IF(AO299=1505,"",AO299)</f>
        <v>785</v>
      </c>
      <c r="Q299" s="362" t="str">
        <f>IF(AP299=0,"",AP299)</f>
        <v/>
      </c>
      <c r="R299" s="362">
        <f>IF(AQ299=1505,"",AQ299)</f>
        <v>650</v>
      </c>
      <c r="S299" s="362" t="str">
        <f>IF(AR299=0,"",AR299)</f>
        <v/>
      </c>
      <c r="T299" s="362">
        <f>IF(AS299=1505,"",AS299)</f>
        <v>676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718</v>
      </c>
      <c r="AD299" s="344"/>
      <c r="AE299" s="343">
        <f>SUM(AE295:AE298)</f>
        <v>740</v>
      </c>
      <c r="AF299" s="344"/>
      <c r="AG299" s="343">
        <f>SUM(AG295:AG298)</f>
        <v>605</v>
      </c>
      <c r="AH299" s="344"/>
      <c r="AI299" s="343">
        <f>SUM(AI295:AI298)</f>
        <v>722</v>
      </c>
      <c r="AJ299" s="344"/>
      <c r="AK299" s="343">
        <f>SUM(AK295:AK298)</f>
        <v>784</v>
      </c>
      <c r="AL299" s="344"/>
      <c r="AM299" s="343">
        <f>SUM(AM295:AM298)</f>
        <v>646</v>
      </c>
      <c r="AN299" s="344"/>
      <c r="AO299" s="343">
        <f>SUM(AO295:AO298)</f>
        <v>785</v>
      </c>
      <c r="AP299" s="344"/>
      <c r="AQ299" s="343">
        <f>SUM(AQ295:AQ298)</f>
        <v>650</v>
      </c>
      <c r="AR299" s="344"/>
      <c r="AS299" s="343">
        <f>SUM(AS295:AS298)</f>
        <v>676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"&amp;Erfassung1!AS2&amp;"     -     "&amp;Erfassung1!AT1</f>
        <v>Saison 2024/2025     -     Spieltag 1     -     12.10./13.10.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+Erfassung1!AE2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8" thickBot="1" x14ac:dyDescent="0.3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4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40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4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39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5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30.5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Praetoria Regensburg</v>
      </c>
      <c r="C11" s="129">
        <f>INDEX(Erfassung1!AC:AC,MATCH($A11,Erfassung1!$BR:$BR,0)-1)</f>
        <v>687</v>
      </c>
      <c r="D11" s="130">
        <f>INDEX(Erfassung1!AD:AD,MATCH($A11,Erfassung1!$BR:$BR,0))</f>
        <v>1</v>
      </c>
      <c r="E11" s="129">
        <f>INDEX(Erfassung1!AE:AE,MATCH($A11,Erfassung1!$BR:$BR,0)-1)</f>
        <v>674</v>
      </c>
      <c r="F11" s="130">
        <f>INDEX(Erfassung1!AF:AF,MATCH($A11,Erfassung1!$BR:$BR,0))</f>
        <v>5</v>
      </c>
      <c r="G11" s="129">
        <f>INDEX(Erfassung1!AG:AG,MATCH($A11,Erfassung1!$BR:$BR,0)-1)</f>
        <v>680</v>
      </c>
      <c r="H11" s="130">
        <f>INDEX(Erfassung1!AH:AH,MATCH($A11,Erfassung1!$BR:$BR,0))</f>
        <v>0</v>
      </c>
      <c r="I11" s="129">
        <f>INDEX(Erfassung1!AI:AI,MATCH($A11,Erfassung1!$BR:$BR,0)-1)</f>
        <v>707</v>
      </c>
      <c r="J11" s="130">
        <f>INDEX(Erfassung1!AJ:AJ,MATCH($A11,Erfassung1!$BR:$BR,0))</f>
        <v>5</v>
      </c>
      <c r="K11" s="129">
        <f>INDEX(Erfassung1!AK:AK,MATCH($A11,Erfassung1!$BR:$BR,0)-1)</f>
        <v>784</v>
      </c>
      <c r="L11" s="130">
        <f>INDEX(Erfassung1!AL:AL,MATCH($A11,Erfassung1!$BR:$BR,0))</f>
        <v>5</v>
      </c>
      <c r="M11" s="129">
        <f>INDEX(Erfassung1!AM:AM,MATCH($A11,Erfassung1!$BR:$BR,0)-1)</f>
        <v>699</v>
      </c>
      <c r="N11" s="130">
        <f>INDEX(Erfassung1!AN:AN,MATCH($A11,Erfassung1!$BR:$BR,0))</f>
        <v>4</v>
      </c>
      <c r="O11" s="129">
        <f>INDEX(Erfassung1!AO:AO,MATCH($A11,Erfassung1!$BR:$BR,0)-1)</f>
        <v>728</v>
      </c>
      <c r="P11" s="130">
        <f>INDEX(Erfassung1!AP:AP,MATCH($A11,Erfassung1!$BR:$BR,0))</f>
        <v>4.5</v>
      </c>
      <c r="Q11" s="129">
        <f>INDEX(Erfassung1!AQ:AQ,MATCH($A11,Erfassung1!$BR:$BR,0)-1)</f>
        <v>727</v>
      </c>
      <c r="R11" s="130">
        <f>INDEX(Erfassung1!AR:AR,MATCH($A11,Erfassung1!$BR:$BR,0))</f>
        <v>0</v>
      </c>
      <c r="S11" s="129">
        <f>INDEX(Erfassung1!AS:AS,MATCH($A11,Erfassung1!$BR:$BR,0)-1)</f>
        <v>721</v>
      </c>
      <c r="T11" s="130">
        <f>INDEX(Erfassung1!AT:AT,MATCH($A11,Erfassung1!$BR:$BR,0))</f>
        <v>3</v>
      </c>
      <c r="U11" s="131">
        <f t="shared" si="0"/>
        <v>6407</v>
      </c>
      <c r="V11" s="132">
        <f t="shared" si="1"/>
        <v>27.5</v>
      </c>
      <c r="W11" s="224">
        <f>IFERROR(U11/INDEX(Erfassung1!BF:BF,MATCH(A11,Erfassung1!BR:BR,0)),0)</f>
        <v>177.97222222222223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BK München 4</v>
      </c>
      <c r="C12" s="129">
        <f>INDEX(Erfassung1!AC:AC,MATCH($A12,Erfassung1!$BR:$BR,0)-1)</f>
        <v>743</v>
      </c>
      <c r="D12" s="130">
        <f>INDEX(Erfassung1!AD:AD,MATCH($A12,Erfassung1!$BR:$BR,0))</f>
        <v>4</v>
      </c>
      <c r="E12" s="129">
        <f>INDEX(Erfassung1!AE:AE,MATCH($A12,Erfassung1!$BR:$BR,0)-1)</f>
        <v>650</v>
      </c>
      <c r="F12" s="130">
        <f>INDEX(Erfassung1!AF:AF,MATCH($A12,Erfassung1!$BR:$BR,0))</f>
        <v>1</v>
      </c>
      <c r="G12" s="129">
        <f>INDEX(Erfassung1!AG:AG,MATCH($A12,Erfassung1!$BR:$BR,0)-1)</f>
        <v>686</v>
      </c>
      <c r="H12" s="130">
        <f>INDEX(Erfassung1!AH:AH,MATCH($A12,Erfassung1!$BR:$BR,0))</f>
        <v>5</v>
      </c>
      <c r="I12" s="129">
        <f>INDEX(Erfassung1!AI:AI,MATCH($A12,Erfassung1!$BR:$BR,0)-1)</f>
        <v>665</v>
      </c>
      <c r="J12" s="130">
        <f>INDEX(Erfassung1!AJ:AJ,MATCH($A12,Erfassung1!$BR:$BR,0))</f>
        <v>1.5</v>
      </c>
      <c r="K12" s="129">
        <f>INDEX(Erfassung1!AK:AK,MATCH($A12,Erfassung1!$BR:$BR,0)-1)</f>
        <v>674</v>
      </c>
      <c r="L12" s="130">
        <f>INDEX(Erfassung1!AL:AL,MATCH($A12,Erfassung1!$BR:$BR,0))</f>
        <v>1</v>
      </c>
      <c r="M12" s="129">
        <f>INDEX(Erfassung1!AM:AM,MATCH($A12,Erfassung1!$BR:$BR,0)-1)</f>
        <v>655</v>
      </c>
      <c r="N12" s="130">
        <f>INDEX(Erfassung1!AN:AN,MATCH($A12,Erfassung1!$BR:$BR,0))</f>
        <v>4</v>
      </c>
      <c r="O12" s="129">
        <f>INDEX(Erfassung1!AO:AO,MATCH($A12,Erfassung1!$BR:$BR,0)-1)</f>
        <v>718</v>
      </c>
      <c r="P12" s="130">
        <f>INDEX(Erfassung1!AP:AP,MATCH($A12,Erfassung1!$BR:$BR,0))</f>
        <v>1</v>
      </c>
      <c r="Q12" s="129">
        <f>INDEX(Erfassung1!AQ:AQ,MATCH($A12,Erfassung1!$BR:$BR,0)-1)</f>
        <v>721</v>
      </c>
      <c r="R12" s="130">
        <f>INDEX(Erfassung1!AR:AR,MATCH($A12,Erfassung1!$BR:$BR,0))</f>
        <v>4</v>
      </c>
      <c r="S12" s="129">
        <f>INDEX(Erfassung1!AS:AS,MATCH($A12,Erfassung1!$BR:$BR,0)-1)</f>
        <v>706</v>
      </c>
      <c r="T12" s="130">
        <f>INDEX(Erfassung1!AT:AT,MATCH($A12,Erfassung1!$BR:$BR,0))</f>
        <v>4</v>
      </c>
      <c r="U12" s="131">
        <f t="shared" si="0"/>
        <v>6218</v>
      </c>
      <c r="V12" s="132">
        <f t="shared" si="1"/>
        <v>25.5</v>
      </c>
      <c r="W12" s="224">
        <f>IFERROR(U12/INDEX(Erfassung1!BF:BF,MATCH(A12,Erfassung1!BR:BR,0)),0)</f>
        <v>172.72222222222223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BK München 3</v>
      </c>
      <c r="C13" s="129">
        <f>INDEX(Erfassung1!AC:AC,MATCH($A13,Erfassung1!$BR:$BR,0)-1)</f>
        <v>700</v>
      </c>
      <c r="D13" s="130">
        <f>INDEX(Erfassung1!AD:AD,MATCH($A13,Erfassung1!$BR:$BR,0))</f>
        <v>4</v>
      </c>
      <c r="E13" s="129">
        <f>INDEX(Erfassung1!AE:AE,MATCH($A13,Erfassung1!$BR:$BR,0)-1)</f>
        <v>622</v>
      </c>
      <c r="F13" s="130">
        <f>INDEX(Erfassung1!AF:AF,MATCH($A13,Erfassung1!$BR:$BR,0))</f>
        <v>1</v>
      </c>
      <c r="G13" s="129">
        <f>INDEX(Erfassung1!AG:AG,MATCH($A13,Erfassung1!$BR:$BR,0)-1)</f>
        <v>680</v>
      </c>
      <c r="H13" s="130">
        <f>INDEX(Erfassung1!AH:AH,MATCH($A13,Erfassung1!$BR:$BR,0))</f>
        <v>4</v>
      </c>
      <c r="I13" s="129">
        <f>INDEX(Erfassung1!AI:AI,MATCH($A13,Erfassung1!$BR:$BR,0)-1)</f>
        <v>722</v>
      </c>
      <c r="J13" s="130">
        <f>INDEX(Erfassung1!AJ:AJ,MATCH($A13,Erfassung1!$BR:$BR,0))</f>
        <v>4.5</v>
      </c>
      <c r="K13" s="129">
        <f>INDEX(Erfassung1!AK:AK,MATCH($A13,Erfassung1!$BR:$BR,0)-1)</f>
        <v>746</v>
      </c>
      <c r="L13" s="130">
        <f>INDEX(Erfassung1!AL:AL,MATCH($A13,Erfassung1!$BR:$BR,0))</f>
        <v>2</v>
      </c>
      <c r="M13" s="129">
        <f>INDEX(Erfassung1!AM:AM,MATCH($A13,Erfassung1!$BR:$BR,0)-1)</f>
        <v>595</v>
      </c>
      <c r="N13" s="130">
        <f>INDEX(Erfassung1!AN:AN,MATCH($A13,Erfassung1!$BR:$BR,0))</f>
        <v>0</v>
      </c>
      <c r="O13" s="129">
        <f>INDEX(Erfassung1!AO:AO,MATCH($A13,Erfassung1!$BR:$BR,0)-1)</f>
        <v>702</v>
      </c>
      <c r="P13" s="130">
        <f>INDEX(Erfassung1!AP:AP,MATCH($A13,Erfassung1!$BR:$BR,0))</f>
        <v>1.5</v>
      </c>
      <c r="Q13" s="129">
        <f>INDEX(Erfassung1!AQ:AQ,MATCH($A13,Erfassung1!$BR:$BR,0)-1)</f>
        <v>687</v>
      </c>
      <c r="R13" s="130">
        <f>INDEX(Erfassung1!AR:AR,MATCH($A13,Erfassung1!$BR:$BR,0))</f>
        <v>2</v>
      </c>
      <c r="S13" s="129">
        <f>INDEX(Erfassung1!AS:AS,MATCH($A13,Erfassung1!$BR:$BR,0)-1)</f>
        <v>646</v>
      </c>
      <c r="T13" s="130">
        <f>INDEX(Erfassung1!AT:AT,MATCH($A13,Erfassung1!$BR:$BR,0))</f>
        <v>5</v>
      </c>
      <c r="U13" s="131">
        <f t="shared" si="0"/>
        <v>6100</v>
      </c>
      <c r="V13" s="132">
        <f t="shared" si="1"/>
        <v>24</v>
      </c>
      <c r="W13" s="224">
        <f>IFERROR(U13/INDEX(Erfassung1!BF:BF,MATCH(A13,Erfassung1!BR:BR,0)),0)</f>
        <v>169.44444444444446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Frankenpower Nürnberg</v>
      </c>
      <c r="C14" s="129">
        <f>INDEX(Erfassung1!AC:AC,MATCH($A14,Erfassung1!$BR:$BR,0)-1)</f>
        <v>685</v>
      </c>
      <c r="D14" s="130">
        <f>INDEX(Erfassung1!AD:AD,MATCH($A14,Erfassung1!$BR:$BR,0))</f>
        <v>2</v>
      </c>
      <c r="E14" s="129">
        <f>INDEX(Erfassung1!AE:AE,MATCH($A14,Erfassung1!$BR:$BR,0)-1)</f>
        <v>705</v>
      </c>
      <c r="F14" s="130">
        <f>INDEX(Erfassung1!AF:AF,MATCH($A14,Erfassung1!$BR:$BR,0))</f>
        <v>2</v>
      </c>
      <c r="G14" s="129">
        <f>INDEX(Erfassung1!AG:AG,MATCH($A14,Erfassung1!$BR:$BR,0)-1)</f>
        <v>605</v>
      </c>
      <c r="H14" s="130">
        <f>INDEX(Erfassung1!AH:AH,MATCH($A14,Erfassung1!$BR:$BR,0))</f>
        <v>1</v>
      </c>
      <c r="I14" s="129">
        <f>INDEX(Erfassung1!AI:AI,MATCH($A14,Erfassung1!$BR:$BR,0)-1)</f>
        <v>627</v>
      </c>
      <c r="J14" s="130">
        <f>INDEX(Erfassung1!AJ:AJ,MATCH($A14,Erfassung1!$BR:$BR,0))</f>
        <v>1.5</v>
      </c>
      <c r="K14" s="129">
        <f>INDEX(Erfassung1!AK:AK,MATCH($A14,Erfassung1!$BR:$BR,0)-1)</f>
        <v>690</v>
      </c>
      <c r="L14" s="130">
        <f>INDEX(Erfassung1!AL:AL,MATCH($A14,Erfassung1!$BR:$BR,0))</f>
        <v>5</v>
      </c>
      <c r="M14" s="129">
        <f>INDEX(Erfassung1!AM:AM,MATCH($A14,Erfassung1!$BR:$BR,0)-1)</f>
        <v>664</v>
      </c>
      <c r="N14" s="130">
        <f>INDEX(Erfassung1!AN:AN,MATCH($A14,Erfassung1!$BR:$BR,0))</f>
        <v>2</v>
      </c>
      <c r="O14" s="129">
        <f>INDEX(Erfassung1!AO:AO,MATCH($A14,Erfassung1!$BR:$BR,0)-1)</f>
        <v>742</v>
      </c>
      <c r="P14" s="130">
        <f>INDEX(Erfassung1!AP:AP,MATCH($A14,Erfassung1!$BR:$BR,0))</f>
        <v>5</v>
      </c>
      <c r="Q14" s="129">
        <f>INDEX(Erfassung1!AQ:AQ,MATCH($A14,Erfassung1!$BR:$BR,0)-1)</f>
        <v>702</v>
      </c>
      <c r="R14" s="130">
        <f>INDEX(Erfassung1!AR:AR,MATCH($A14,Erfassung1!$BR:$BR,0))</f>
        <v>2</v>
      </c>
      <c r="S14" s="129">
        <f>INDEX(Erfassung1!AS:AS,MATCH($A14,Erfassung1!$BR:$BR,0)-1)</f>
        <v>736</v>
      </c>
      <c r="T14" s="130">
        <f>INDEX(Erfassung1!AT:AT,MATCH($A14,Erfassung1!$BR:$BR,0))</f>
        <v>2</v>
      </c>
      <c r="U14" s="131">
        <f t="shared" si="0"/>
        <v>6156</v>
      </c>
      <c r="V14" s="132">
        <f t="shared" si="1"/>
        <v>22.5</v>
      </c>
      <c r="W14" s="224">
        <f>IFERROR(U14/INDEX(Erfassung1!BF:BF,MATCH(A14,Erfassung1!BR:BR,0)),0)</f>
        <v>171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2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12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 xml:space="preserve">Weiß Blau Unterföhring </v>
      </c>
      <c r="C16" s="129">
        <f>INDEX(Erfassung1!AC:AC,MATCH($A16,Erfassung1!$BR:$BR,0)-1)</f>
        <v>678</v>
      </c>
      <c r="D16" s="130">
        <f>INDEX(Erfassung1!AD:AD,MATCH($A16,Erfassung1!$BR:$BR,0))</f>
        <v>5</v>
      </c>
      <c r="E16" s="129">
        <f>INDEX(Erfassung1!AE:AE,MATCH($A16,Erfassung1!$BR:$BR,0)-1)</f>
        <v>699</v>
      </c>
      <c r="F16" s="130">
        <f>INDEX(Erfassung1!AF:AF,MATCH($A16,Erfassung1!$BR:$BR,0))</f>
        <v>0</v>
      </c>
      <c r="G16" s="129">
        <f>INDEX(Erfassung1!AG:AG,MATCH($A16,Erfassung1!$BR:$BR,0)-1)</f>
        <v>604</v>
      </c>
      <c r="H16" s="130">
        <f>INDEX(Erfassung1!AH:AH,MATCH($A16,Erfassung1!$BR:$BR,0))</f>
        <v>0</v>
      </c>
      <c r="I16" s="129">
        <f>INDEX(Erfassung1!AI:AI,MATCH($A16,Erfassung1!$BR:$BR,0)-1)</f>
        <v>634</v>
      </c>
      <c r="J16" s="130">
        <f>INDEX(Erfassung1!AJ:AJ,MATCH($A16,Erfassung1!$BR:$BR,0))</f>
        <v>1</v>
      </c>
      <c r="K16" s="129">
        <f>INDEX(Erfassung1!AK:AK,MATCH($A16,Erfassung1!$BR:$BR,0)-1)</f>
        <v>664</v>
      </c>
      <c r="L16" s="130">
        <f>INDEX(Erfassung1!AL:AL,MATCH($A16,Erfassung1!$BR:$BR,0))</f>
        <v>1</v>
      </c>
      <c r="M16" s="129">
        <f>INDEX(Erfassung1!AM:AM,MATCH($A16,Erfassung1!$BR:$BR,0)-1)</f>
        <v>734</v>
      </c>
      <c r="N16" s="130">
        <f>INDEX(Erfassung1!AN:AN,MATCH($A16,Erfassung1!$BR:$BR,0))</f>
        <v>1</v>
      </c>
      <c r="O16" s="129">
        <f>INDEX(Erfassung1!AO:AO,MATCH($A16,Erfassung1!$BR:$BR,0)-1)</f>
        <v>635</v>
      </c>
      <c r="P16" s="130">
        <f>INDEX(Erfassung1!AP:AP,MATCH($A16,Erfassung1!$BR:$BR,0))</f>
        <v>0</v>
      </c>
      <c r="Q16" s="129">
        <f>INDEX(Erfassung1!AQ:AQ,MATCH($A16,Erfassung1!$BR:$BR,0)-1)</f>
        <v>650</v>
      </c>
      <c r="R16" s="130">
        <f>INDEX(Erfassung1!AR:AR,MATCH($A16,Erfassung1!$BR:$BR,0))</f>
        <v>2</v>
      </c>
      <c r="S16" s="129">
        <f>INDEX(Erfassung1!AS:AS,MATCH($A16,Erfassung1!$BR:$BR,0)-1)</f>
        <v>585</v>
      </c>
      <c r="T16" s="130">
        <f>INDEX(Erfassung1!AT:AT,MATCH($A16,Erfassung1!$BR:$BR,0))</f>
        <v>1</v>
      </c>
      <c r="U16" s="131">
        <f t="shared" si="0"/>
        <v>5883</v>
      </c>
      <c r="V16" s="132">
        <f t="shared" si="1"/>
        <v>11</v>
      </c>
      <c r="W16" s="224">
        <f>IFERROR(U16/INDEX(Erfassung1!BF:BF,MATCH(A16,Erfassung1!BR:BR,0)),0)</f>
        <v>163.41666666666666</v>
      </c>
      <c r="X16" s="25"/>
      <c r="AE16" s="215">
        <f>SUMIF(Erfassung1!BU:BU,B16,Erfassung1!BF:BF)</f>
        <v>36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81" t="str">
        <f>IFERROR(ROUND(INDEX(Erfassung1!BW:BW,MATCH(1,Erfassung1!BZ:BZ,0)),0),"")&amp;"  /  "&amp;ROUND(IFERROR(ROUND(INDEX(Erfassung1!BW:BW,MATCH(1,Erfassung1!BZ:BZ,0)),0),"")/9,2)</f>
        <v>1898  /  210,89</v>
      </c>
      <c r="O24" s="381"/>
      <c r="P24" s="381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  <mergeCell ref="C20:H20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27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47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22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33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23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1606</v>
      </c>
      <c r="N12">
        <f>SUMIF(Erfassung1!BD:BD,L12,Erfassung1!BG:BG)</f>
        <v>9</v>
      </c>
      <c r="O12">
        <f t="shared" si="1"/>
        <v>178.44444443244447</v>
      </c>
      <c r="P12">
        <f t="shared" si="0"/>
        <v>19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1360</v>
      </c>
      <c r="N13">
        <f>SUMIF(Erfassung1!BD:BD,L13,Erfassung1!BG:BG)</f>
        <v>8</v>
      </c>
      <c r="O13">
        <f t="shared" si="1"/>
        <v>169.999999987</v>
      </c>
      <c r="P13">
        <f t="shared" si="0"/>
        <v>30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1566</v>
      </c>
      <c r="N14">
        <f>SUMIF(Erfassung1!BD:BD,L14,Erfassung1!BG:BG)</f>
        <v>9</v>
      </c>
      <c r="O14">
        <f t="shared" si="1"/>
        <v>173.99999998600001</v>
      </c>
      <c r="P14">
        <f t="shared" si="0"/>
        <v>25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772</v>
      </c>
      <c r="N15">
        <f>SUMIF(Erfassung1!BD:BD,L15,Erfassung1!BG:BG)</f>
        <v>5</v>
      </c>
      <c r="O15">
        <f t="shared" si="1"/>
        <v>154.39999998499999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47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26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39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36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47</v>
      </c>
    </row>
    <row r="23" spans="1:16" x14ac:dyDescent="0.25">
      <c r="A23">
        <f t="shared" si="6"/>
        <v>19</v>
      </c>
      <c r="B23">
        <f t="shared" si="2"/>
        <v>16594</v>
      </c>
      <c r="C23" t="str">
        <f>IFERROR(INDEX(Starter!B:B,MATCH(B23,Starter!A:A,0)),"")</f>
        <v>Schott, Monika</v>
      </c>
      <c r="D23" t="str">
        <f>IFERROR(INDEX(Starter!C:C,MATCH(B23,Starter!A:A,0)),"")</f>
        <v>BK München</v>
      </c>
      <c r="E23" s="102">
        <f t="shared" si="3"/>
        <v>1606</v>
      </c>
      <c r="F23">
        <f t="shared" si="4"/>
        <v>9</v>
      </c>
      <c r="G23" s="137">
        <f t="shared" si="5"/>
        <v>178.44444443244447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1599</v>
      </c>
      <c r="F24">
        <f t="shared" si="4"/>
        <v>9</v>
      </c>
      <c r="G24" s="137">
        <f t="shared" si="5"/>
        <v>177.66666663766665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16170</v>
      </c>
      <c r="C26" t="str">
        <f>IFERROR(INDEX(Starter!B:B,MATCH(B26,Starter!A:A,0)),"")</f>
        <v>Wölki, Elisabeth</v>
      </c>
      <c r="D26" t="str">
        <f>IFERROR(INDEX(Starter!C:C,MATCH(B26,Starter!A:A,0)),"")</f>
        <v>BC Praetoria</v>
      </c>
      <c r="E26" s="102">
        <f t="shared" si="3"/>
        <v>1586</v>
      </c>
      <c r="F26">
        <f t="shared" si="4"/>
        <v>9</v>
      </c>
      <c r="G26" s="137">
        <f t="shared" si="5"/>
        <v>176.22222221622224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32</v>
      </c>
    </row>
    <row r="27" spans="1:16" x14ac:dyDescent="0.25">
      <c r="A27">
        <f t="shared" si="6"/>
        <v>23</v>
      </c>
      <c r="B27">
        <f t="shared" si="2"/>
        <v>38350</v>
      </c>
      <c r="C27" t="str">
        <f>IFERROR(INDEX(Starter!B:B,MATCH(B27,Starter!A:A,0)),"")</f>
        <v>Seeger, Melanie</v>
      </c>
      <c r="D27" t="str">
        <f>IFERROR(INDEX(Starter!C:C,MATCH(B27,Starter!A:A,0)),"")</f>
        <v>BK München</v>
      </c>
      <c r="E27" s="102">
        <f t="shared" si="3"/>
        <v>1585</v>
      </c>
      <c r="F27">
        <f t="shared" si="4"/>
        <v>9</v>
      </c>
      <c r="G27" s="137">
        <f t="shared" si="5"/>
        <v>176.11111110011112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24</v>
      </c>
    </row>
    <row r="28" spans="1:16" x14ac:dyDescent="0.25">
      <c r="A28">
        <f t="shared" si="6"/>
        <v>24</v>
      </c>
      <c r="B28">
        <f t="shared" si="2"/>
        <v>38758</v>
      </c>
      <c r="C28" t="str">
        <f>IFERROR(INDEX(Starter!B:B,MATCH(B28,Starter!A:A,0)),"")</f>
        <v>Rauscher, Julia</v>
      </c>
      <c r="D28" t="str">
        <f>IFERROR(INDEX(Starter!C:C,MATCH(B28,Starter!A:A,0)),"")</f>
        <v>BSC Highroller Rosenheim</v>
      </c>
      <c r="E28" s="102">
        <f t="shared" si="3"/>
        <v>875</v>
      </c>
      <c r="F28">
        <f t="shared" si="4"/>
        <v>5</v>
      </c>
      <c r="G28" s="137">
        <f t="shared" si="5"/>
        <v>174.999999973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47</v>
      </c>
    </row>
    <row r="29" spans="1:16" x14ac:dyDescent="0.25">
      <c r="A29">
        <f t="shared" si="6"/>
        <v>25</v>
      </c>
      <c r="B29">
        <f t="shared" si="2"/>
        <v>7061</v>
      </c>
      <c r="C29" t="str">
        <f>IFERROR(INDEX(Starter!B:B,MATCH(B29,Starter!A:A,0)),"")</f>
        <v>Waigel, Petra</v>
      </c>
      <c r="D29" t="str">
        <f>IFERROR(INDEX(Starter!C:C,MATCH(B29,Starter!A:A,0)),"")</f>
        <v>BK München</v>
      </c>
      <c r="E29" s="102">
        <f t="shared" si="3"/>
        <v>1566</v>
      </c>
      <c r="F29">
        <f t="shared" si="4"/>
        <v>9</v>
      </c>
      <c r="G29" s="137">
        <f t="shared" si="5"/>
        <v>173.99999998600001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20</v>
      </c>
    </row>
    <row r="30" spans="1:16" x14ac:dyDescent="0.25">
      <c r="A30">
        <f t="shared" si="6"/>
        <v>26</v>
      </c>
      <c r="B30">
        <f t="shared" si="2"/>
        <v>7576</v>
      </c>
      <c r="C30" t="str">
        <f>IFERROR(INDEX(Starter!B:B,MATCH(B30,Starter!A:A,0)),"")</f>
        <v>Laub, Angela</v>
      </c>
      <c r="D30" t="str">
        <f>IFERROR(INDEX(Starter!C:C,MATCH(B30,Starter!A:A,0)),"")</f>
        <v>BK München</v>
      </c>
      <c r="E30" s="102">
        <f t="shared" si="3"/>
        <v>867</v>
      </c>
      <c r="F30">
        <f t="shared" si="4"/>
        <v>5</v>
      </c>
      <c r="G30" s="137">
        <f t="shared" si="5"/>
        <v>173.39999998100001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35</v>
      </c>
    </row>
    <row r="31" spans="1:16" x14ac:dyDescent="0.25">
      <c r="A31">
        <f t="shared" si="6"/>
        <v>27</v>
      </c>
      <c r="B31">
        <f t="shared" si="2"/>
        <v>25751</v>
      </c>
      <c r="C31" t="str">
        <f>IFERROR(INDEX(Starter!B:B,MATCH(B31,Starter!A:A,0)),"")</f>
        <v>Schlundt, Sabrina</v>
      </c>
      <c r="D31" t="str">
        <f>IFERROR(INDEX(Starter!C:C,MATCH(B31,Starter!A:A,0)),"")</f>
        <v>BC Praetoria</v>
      </c>
      <c r="E31" s="102">
        <f t="shared" si="3"/>
        <v>1211</v>
      </c>
      <c r="F31">
        <f t="shared" si="4"/>
        <v>7</v>
      </c>
      <c r="G31" s="137">
        <f t="shared" si="5"/>
        <v>172.99999999799999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37</v>
      </c>
    </row>
    <row r="32" spans="1:16" x14ac:dyDescent="0.25">
      <c r="A32">
        <f t="shared" si="6"/>
        <v>28</v>
      </c>
      <c r="B32">
        <f t="shared" si="2"/>
        <v>25397</v>
      </c>
      <c r="C32" t="str">
        <f>IFERROR(INDEX(Starter!B:B,MATCH(B32,Starter!A:A,0)),"")</f>
        <v>Weninger, Diana</v>
      </c>
      <c r="D32" t="str">
        <f>IFERROR(INDEX(Starter!C:C,MATCH(B32,Starter!A:A,0)),"")</f>
        <v>BC E.P.A. München</v>
      </c>
      <c r="E32" s="102">
        <f t="shared" si="3"/>
        <v>865</v>
      </c>
      <c r="F32">
        <f t="shared" si="4"/>
        <v>5</v>
      </c>
      <c r="G32" s="137">
        <f t="shared" si="5"/>
        <v>172.99999995799999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1540</v>
      </c>
      <c r="F33">
        <f t="shared" si="4"/>
        <v>9</v>
      </c>
      <c r="G33" s="137">
        <f t="shared" si="5"/>
        <v>171.11111105711112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47</v>
      </c>
    </row>
    <row r="34" spans="1:16" x14ac:dyDescent="0.25">
      <c r="A34">
        <f t="shared" si="6"/>
        <v>30</v>
      </c>
      <c r="B34">
        <f t="shared" si="2"/>
        <v>16595</v>
      </c>
      <c r="C34" t="str">
        <f>IFERROR(INDEX(Starter!B:B,MATCH(B34,Starter!A:A,0)),"")</f>
        <v>Schott, Nicole</v>
      </c>
      <c r="D34" t="str">
        <f>IFERROR(INDEX(Starter!C:C,MATCH(B34,Starter!A:A,0)),"")</f>
        <v>BK München</v>
      </c>
      <c r="E34" s="102">
        <f t="shared" si="3"/>
        <v>1360</v>
      </c>
      <c r="F34">
        <f t="shared" si="4"/>
        <v>8</v>
      </c>
      <c r="G34" s="137">
        <f t="shared" si="5"/>
        <v>169.999999987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47</v>
      </c>
    </row>
    <row r="35" spans="1:16" x14ac:dyDescent="0.25">
      <c r="A35">
        <f t="shared" si="6"/>
        <v>31</v>
      </c>
      <c r="B35">
        <f t="shared" si="2"/>
        <v>7087</v>
      </c>
      <c r="C35" t="str">
        <f>IFERROR(INDEX(Starter!B:B,MATCH(B35,Starter!A:A,0)),"")</f>
        <v>Albert, Beate</v>
      </c>
      <c r="D35" t="str">
        <f>IFERROR(INDEX(Starter!C:C,MATCH(B35,Starter!A:A,0)),"")</f>
        <v>BF Weiß-Blau</v>
      </c>
      <c r="E35" s="102">
        <f t="shared" si="3"/>
        <v>1506</v>
      </c>
      <c r="F35">
        <f t="shared" si="4"/>
        <v>9</v>
      </c>
      <c r="G35" s="137">
        <f t="shared" si="5"/>
        <v>167.33333328833334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47</v>
      </c>
    </row>
    <row r="36" spans="1:16" x14ac:dyDescent="0.25">
      <c r="A36">
        <f t="shared" si="6"/>
        <v>32</v>
      </c>
      <c r="B36">
        <f t="shared" si="2"/>
        <v>25630</v>
      </c>
      <c r="C36" t="str">
        <f>IFERROR(INDEX(Starter!B:B,MATCH(B36,Starter!A:A,0)),"")</f>
        <v>Groll, Hanni</v>
      </c>
      <c r="D36" t="str">
        <f>IFERROR(INDEX(Starter!C:C,MATCH(B36,Starter!A:A,0)),"")</f>
        <v>BSC Highroller Rosenheim</v>
      </c>
      <c r="E36" s="102">
        <f t="shared" si="3"/>
        <v>658</v>
      </c>
      <c r="F36">
        <f t="shared" si="4"/>
        <v>4</v>
      </c>
      <c r="G36" s="137">
        <f t="shared" si="5"/>
        <v>164.49999997399999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47</v>
      </c>
    </row>
    <row r="37" spans="1:16" x14ac:dyDescent="0.25">
      <c r="A37">
        <f t="shared" si="6"/>
        <v>33</v>
      </c>
      <c r="B37">
        <f t="shared" ref="B37:B68" si="8">IFERROR(INDEX(L:L,MATCH(A37,P:P,0)),"")</f>
        <v>38222</v>
      </c>
      <c r="C37" t="str">
        <f>IFERROR(INDEX(Starter!B:B,MATCH(B37,Starter!A:A,0)),"")</f>
        <v>Helmbrecht, Carolin</v>
      </c>
      <c r="D37" t="str">
        <f>IFERROR(INDEX(Starter!C:C,MATCH(B37,Starter!A:A,0)),"")</f>
        <v>BK München</v>
      </c>
      <c r="E37" s="102">
        <f t="shared" ref="E37:E68" si="9">IFERROR(INDEX(M:M,MATCH(A37,P:P,0)),"")</f>
        <v>1479</v>
      </c>
      <c r="F37">
        <f t="shared" ref="F37:F68" si="10">IFERROR(INDEX(N:N,MATCH(A37,P:P,0)),"")</f>
        <v>9</v>
      </c>
      <c r="G37" s="137">
        <f t="shared" ref="G37:G68" si="11">IFERROR(INDEX(O:O,MATCH(A37,P:P,0)),"")</f>
        <v>164.33333332533334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47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38513</v>
      </c>
      <c r="C38" t="str">
        <f>IFERROR(INDEX(Starter!B:B,MATCH(B38,Starter!A:A,0)),"")</f>
        <v>Thöne, Melanie</v>
      </c>
      <c r="D38" t="str">
        <f>IFERROR(INDEX(Starter!C:C,MATCH(B38,Starter!A:A,0)),"")</f>
        <v>BF Rot-Weiß Lichtenhof 69</v>
      </c>
      <c r="E38" s="102">
        <f t="shared" si="9"/>
        <v>1468</v>
      </c>
      <c r="F38">
        <f t="shared" si="10"/>
        <v>9</v>
      </c>
      <c r="G38" s="137">
        <f t="shared" si="11"/>
        <v>163.11111105211111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47</v>
      </c>
    </row>
    <row r="39" spans="1:16" x14ac:dyDescent="0.25">
      <c r="A39">
        <f t="shared" si="12"/>
        <v>35</v>
      </c>
      <c r="B39">
        <f t="shared" si="8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9"/>
        <v>1441</v>
      </c>
      <c r="F39">
        <f t="shared" si="10"/>
        <v>9</v>
      </c>
      <c r="G39" s="137">
        <f t="shared" si="11"/>
        <v>160.11111108111112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47</v>
      </c>
    </row>
    <row r="40" spans="1:16" x14ac:dyDescent="0.25">
      <c r="A40">
        <f t="shared" si="12"/>
        <v>36</v>
      </c>
      <c r="B40">
        <f t="shared" si="8"/>
        <v>16879</v>
      </c>
      <c r="C40" t="str">
        <f>IFERROR(INDEX(Starter!B:B,MATCH(B40,Starter!A:A,0)),"")</f>
        <v>Danzer, Andrea</v>
      </c>
      <c r="D40" t="str">
        <f>IFERROR(INDEX(Starter!C:C,MATCH(B40,Starter!A:A,0)),"")</f>
        <v>BK München</v>
      </c>
      <c r="E40" s="102">
        <f t="shared" si="9"/>
        <v>960</v>
      </c>
      <c r="F40">
        <f t="shared" si="10"/>
        <v>6</v>
      </c>
      <c r="G40" s="137">
        <f t="shared" si="11"/>
        <v>159.99999997899999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47</v>
      </c>
    </row>
    <row r="41" spans="1:16" x14ac:dyDescent="0.25">
      <c r="A41">
        <f t="shared" si="12"/>
        <v>37</v>
      </c>
      <c r="B41">
        <f t="shared" si="8"/>
        <v>7757</v>
      </c>
      <c r="C41" t="str">
        <f>IFERROR(INDEX(Starter!B:B,MATCH(B41,Starter!A:A,0)),"")</f>
        <v>Legl, Renate</v>
      </c>
      <c r="D41" t="str">
        <f>IFERROR(INDEX(Starter!C:C,MATCH(B41,Starter!A:A,0)),"")</f>
        <v>BC Frankenpower</v>
      </c>
      <c r="E41" s="102">
        <f t="shared" si="9"/>
        <v>1435</v>
      </c>
      <c r="F41">
        <f t="shared" si="10"/>
        <v>9</v>
      </c>
      <c r="G41" s="137">
        <f t="shared" si="11"/>
        <v>159.44444441344444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47</v>
      </c>
    </row>
    <row r="42" spans="1:16" x14ac:dyDescent="0.25">
      <c r="A42">
        <f t="shared" si="12"/>
        <v>38</v>
      </c>
      <c r="B42">
        <f t="shared" si="8"/>
        <v>25808</v>
      </c>
      <c r="C42" t="str">
        <f>IFERROR(INDEX(Starter!B:B,MATCH(B42,Starter!A:A,0)),"")</f>
        <v>Dietrich, Ulrike</v>
      </c>
      <c r="D42" t="str">
        <f>IFERROR(INDEX(Starter!C:C,MATCH(B42,Starter!A:A,0)),"")</f>
        <v>BC Olching '07</v>
      </c>
      <c r="E42" s="102">
        <f t="shared" si="9"/>
        <v>796</v>
      </c>
      <c r="F42">
        <f t="shared" si="10"/>
        <v>5</v>
      </c>
      <c r="G42" s="137">
        <f t="shared" si="11"/>
        <v>159.19999993399998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28</v>
      </c>
    </row>
    <row r="43" spans="1:16" x14ac:dyDescent="0.25">
      <c r="A43">
        <f t="shared" si="12"/>
        <v>39</v>
      </c>
      <c r="B43">
        <f t="shared" si="8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9"/>
        <v>1105</v>
      </c>
      <c r="F43">
        <f t="shared" si="10"/>
        <v>7</v>
      </c>
      <c r="G43" s="137">
        <f t="shared" si="11"/>
        <v>157.85714283714287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47</v>
      </c>
    </row>
    <row r="44" spans="1:16" x14ac:dyDescent="0.25">
      <c r="A44">
        <f t="shared" si="12"/>
        <v>40</v>
      </c>
      <c r="B44">
        <f t="shared" si="8"/>
        <v>7551</v>
      </c>
      <c r="C44" t="str">
        <f>IFERROR(INDEX(Starter!B:B,MATCH(B44,Starter!A:A,0)),"")</f>
        <v>Zehner, Gabriele</v>
      </c>
      <c r="D44" t="str">
        <f>IFERROR(INDEX(Starter!C:C,MATCH(B44,Starter!A:A,0)),"")</f>
        <v>BF Weiß-Blau</v>
      </c>
      <c r="E44" s="102">
        <f t="shared" si="9"/>
        <v>1102</v>
      </c>
      <c r="F44">
        <f t="shared" si="10"/>
        <v>7</v>
      </c>
      <c r="G44" s="137">
        <f t="shared" si="11"/>
        <v>157.42857137657143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16414</v>
      </c>
      <c r="C45" t="str">
        <f>IFERROR(INDEX(Starter!B:B,MATCH(B45,Starter!A:A,0)),"")</f>
        <v>Dornacher, Hannelore</v>
      </c>
      <c r="D45" t="str">
        <f>IFERROR(INDEX(Starter!C:C,MATCH(B45,Starter!A:A,0)),"")</f>
        <v>BF Weiß-Blau</v>
      </c>
      <c r="E45" s="102">
        <f t="shared" si="9"/>
        <v>1092</v>
      </c>
      <c r="F45">
        <f t="shared" si="10"/>
        <v>7</v>
      </c>
      <c r="G45" s="137">
        <f t="shared" si="11"/>
        <v>155.999999954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31</v>
      </c>
    </row>
    <row r="46" spans="1:16" x14ac:dyDescent="0.25">
      <c r="A46">
        <f t="shared" si="12"/>
        <v>42</v>
      </c>
      <c r="B46">
        <f t="shared" si="8"/>
        <v>25550</v>
      </c>
      <c r="C46" t="str">
        <f>IFERROR(INDEX(Starter!B:B,MATCH(B46,Starter!A:A,0)),"")</f>
        <v>Hueber, Claudia</v>
      </c>
      <c r="D46" t="str">
        <f>IFERROR(INDEX(Starter!C:C,MATCH(B46,Starter!A:A,0)),"")</f>
        <v>BK München</v>
      </c>
      <c r="E46" s="102">
        <f t="shared" si="9"/>
        <v>772</v>
      </c>
      <c r="F46">
        <f t="shared" si="10"/>
        <v>5</v>
      </c>
      <c r="G46" s="137">
        <f t="shared" si="11"/>
        <v>154.39999998499999</v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41</v>
      </c>
    </row>
    <row r="47" spans="1:16" x14ac:dyDescent="0.25">
      <c r="A47">
        <f t="shared" si="12"/>
        <v>43</v>
      </c>
      <c r="B47">
        <f t="shared" si="8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9"/>
        <v>1364</v>
      </c>
      <c r="F47">
        <f t="shared" si="10"/>
        <v>9</v>
      </c>
      <c r="G47" s="137">
        <f t="shared" si="11"/>
        <v>151.55555549555555</v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47</v>
      </c>
    </row>
    <row r="48" spans="1:16" x14ac:dyDescent="0.25">
      <c r="A48">
        <f t="shared" si="12"/>
        <v>44</v>
      </c>
      <c r="B48">
        <f t="shared" si="8"/>
        <v>25551</v>
      </c>
      <c r="C48" t="str">
        <f>IFERROR(INDEX(Starter!B:B,MATCH(B48,Starter!A:A,0)),"")</f>
        <v>Wahl, Alexandra</v>
      </c>
      <c r="D48" t="str">
        <f>IFERROR(INDEX(Starter!C:C,MATCH(B48,Starter!A:A,0)),"")</f>
        <v>BF Rot-Weiß Lichtenhof 69</v>
      </c>
      <c r="E48" s="102">
        <f t="shared" si="9"/>
        <v>1342</v>
      </c>
      <c r="F48">
        <f t="shared" si="10"/>
        <v>9</v>
      </c>
      <c r="G48" s="137">
        <f t="shared" si="11"/>
        <v>149.11111105411112</v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47</v>
      </c>
    </row>
    <row r="49" spans="1:16" x14ac:dyDescent="0.25">
      <c r="A49">
        <f t="shared" si="12"/>
        <v>45</v>
      </c>
      <c r="B49">
        <f t="shared" si="8"/>
        <v>7546</v>
      </c>
      <c r="C49" t="str">
        <f>IFERROR(INDEX(Starter!B:B,MATCH(B49,Starter!A:A,0)),"")</f>
        <v>Mc Fadden, Brigitte</v>
      </c>
      <c r="D49" t="str">
        <f>IFERROR(INDEX(Starter!C:C,MATCH(B49,Starter!A:A,0)),"")</f>
        <v>BF Weiß-Blau</v>
      </c>
      <c r="E49" s="102">
        <f t="shared" si="9"/>
        <v>575</v>
      </c>
      <c r="F49">
        <f t="shared" si="10"/>
        <v>4</v>
      </c>
      <c r="G49" s="137">
        <f t="shared" si="11"/>
        <v>143.74999995100001</v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45</v>
      </c>
    </row>
    <row r="50" spans="1:16" x14ac:dyDescent="0.25">
      <c r="A50">
        <f t="shared" si="12"/>
        <v>46</v>
      </c>
      <c r="B50">
        <f t="shared" si="8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9"/>
        <v>262</v>
      </c>
      <c r="F50">
        <f t="shared" si="10"/>
        <v>2</v>
      </c>
      <c r="G50" s="137">
        <f t="shared" si="11"/>
        <v>130.999999995</v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47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47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40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47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29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44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47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34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43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47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47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47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796</v>
      </c>
      <c r="N66">
        <f>SUMIF(Erfassung1!BD:BD,L66,Erfassung1!BG:BG)</f>
        <v>5</v>
      </c>
      <c r="O66">
        <f t="shared" si="1"/>
        <v>159.19999993399998</v>
      </c>
      <c r="P66">
        <f t="shared" ref="P66:P97" si="13">RANK(O66,O:O)</f>
        <v>38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21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47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47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47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47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47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47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47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47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47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47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47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47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47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47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47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47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47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47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47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47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47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47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47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47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47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47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47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47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47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47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47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47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2024-11-11T19:01:27Z</cp:lastPrinted>
  <dcterms:created xsi:type="dcterms:W3CDTF">2008-06-12T13:54:35Z</dcterms:created>
  <dcterms:modified xsi:type="dcterms:W3CDTF">2025-01-23T20:19:03Z</dcterms:modified>
</cp:coreProperties>
</file>