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defaultThemeVersion="124226"/>
  <mc:AlternateContent xmlns:mc="http://schemas.openxmlformats.org/markup-compatibility/2006">
    <mc:Choice Requires="x15">
      <x15ac:absPath xmlns:x15ac="http://schemas.microsoft.com/office/spreadsheetml/2010/11/ac" url="C:\Users\Helene Familie\Spaces\BBU Dokumente allgemein\Saisonunterlagen\Saison 2024-25\Liga\Liga Nord\Ligaprogramme_Nord\"/>
    </mc:Choice>
  </mc:AlternateContent>
  <xr:revisionPtr revIDLastSave="0" documentId="13_ncr:1_{782CDFC7-3A33-4112-B8CB-05465981EB41}" xr6:coauthVersionLast="47" xr6:coauthVersionMax="47" xr10:uidLastSave="{00000000-0000-0000-0000-000000000000}"/>
  <workbookProtection workbookAlgorithmName="SHA-512" workbookHashValue="90RZwL8WUYAsEyPiZMy4JQWEZPh9Ul80bgxIz+o/vjXmu7v/uGiEN5kah8O9eDnZNMucOvYSjzJLhHv/3eVAzw==" workbookSaltValue="xVkiWItAspbIf2H4pQWsHg==" workbookSpinCount="100000" lockStructure="1"/>
  <bookViews>
    <workbookView xWindow="-108" yWindow="-108" windowWidth="23256" windowHeight="12456" tabRatio="658" firstSheet="3" activeTab="25"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state="hidden" r:id="rId17"/>
    <sheet name="Spielzettel3" sheetId="84" state="hidden" r:id="rId18"/>
    <sheet name="Erfassung3" sheetId="55" state="hidden" r:id="rId19"/>
    <sheet name="Tabelle3" sheetId="63" state="hidden" r:id="rId20"/>
    <sheet name="TabGes3" sheetId="73" state="hidden" r:id="rId21"/>
    <sheet name="Schnitt3" sheetId="96" state="hidden" r:id="rId22"/>
    <sheet name="SchnittGes3" sheetId="101" state="hidden" r:id="rId23"/>
    <sheet name="SRBericht4" sheetId="92" r:id="rId24"/>
    <sheet name="Spielzettel4" sheetId="85" r:id="rId25"/>
    <sheet name="Erfassung4" sheetId="57" r:id="rId26"/>
    <sheet name="Tabelle4" sheetId="70" r:id="rId27"/>
    <sheet name="TabGes4" sheetId="74" r:id="rId28"/>
    <sheet name="Schnitt4" sheetId="97" state="hidden" r:id="rId29"/>
    <sheet name="SchnittGes4" sheetId="102" state="hidden" r:id="rId30"/>
    <sheet name="SRBericht5" sheetId="93" state="hidden" r:id="rId31"/>
    <sheet name="Spielzettel5" sheetId="86" state="hidden" r:id="rId32"/>
    <sheet name="Erfassung5" sheetId="58" state="hidden" r:id="rId33"/>
    <sheet name="Tabelle5" sheetId="68" state="hidden" r:id="rId34"/>
    <sheet name="TabGes5" sheetId="75" state="hidden" r:id="rId35"/>
    <sheet name="Schnitt5" sheetId="98" state="hidden" r:id="rId36"/>
    <sheet name="SchnittGes5" sheetId="103" state="hidden"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workbook>
</file>

<file path=xl/calcChain.xml><?xml version="1.0" encoding="utf-8"?>
<calcChain xmlns="http://schemas.openxmlformats.org/spreadsheetml/2006/main">
  <c r="CT6" i="16" l="1"/>
  <c r="CS6" i="16"/>
  <c r="CR6" i="16"/>
  <c r="CQ6" i="16"/>
  <c r="CP6" i="16"/>
  <c r="CO6" i="16"/>
  <c r="CO7" i="16"/>
  <c r="DN5" i="16"/>
  <c r="DM5" i="16"/>
  <c r="DL5" i="16"/>
  <c r="DK5" i="16"/>
  <c r="DJ5" i="16"/>
  <c r="O4" i="107"/>
  <c r="DI5" i="16"/>
  <c r="BV5" i="16"/>
  <c r="AR7" i="16"/>
  <c r="BB5" i="16"/>
  <c r="BC5" i="16"/>
  <c r="BD5" i="16"/>
  <c r="BE5" i="16"/>
  <c r="BF5" i="16"/>
  <c r="BA5" i="16"/>
  <c r="L5" i="16"/>
  <c r="D9" i="16"/>
  <c r="M5" i="16"/>
  <c r="O13" i="16"/>
  <c r="AR5" i="16"/>
  <c r="AS5" i="16" s="1"/>
  <c r="O6" i="16"/>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8" i="71"/>
  <c r="C18" i="71"/>
  <c r="B18"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G79" i="108" s="1"/>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T76" i="108" s="1"/>
  <c r="BI76" i="108"/>
  <c r="BH76" i="108"/>
  <c r="BD76" i="108"/>
  <c r="AG76" i="108"/>
  <c r="N76" i="108" s="1"/>
  <c r="S76" i="108"/>
  <c r="B76" i="108" s="1"/>
  <c r="L76" i="108"/>
  <c r="J76" i="108"/>
  <c r="H76" i="108"/>
  <c r="F76" i="108"/>
  <c r="D76" i="108"/>
  <c r="C76" i="108"/>
  <c r="BM75" i="108"/>
  <c r="BL75" i="108"/>
  <c r="BK75" i="108"/>
  <c r="BJ75" i="108"/>
  <c r="BI75" i="108"/>
  <c r="BP75" i="108" s="1"/>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T73" i="108" s="1"/>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P45" i="108" s="1"/>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U43" i="108" s="1"/>
  <c r="BK43" i="108"/>
  <c r="BJ43" i="108"/>
  <c r="BI43" i="108"/>
  <c r="BH43" i="108"/>
  <c r="BD43" i="108"/>
  <c r="AG43" i="108"/>
  <c r="N43" i="108" s="1"/>
  <c r="S43" i="108"/>
  <c r="B43" i="108" s="1"/>
  <c r="L43" i="108"/>
  <c r="J43" i="108"/>
  <c r="H43" i="108"/>
  <c r="F43" i="108"/>
  <c r="D43" i="108"/>
  <c r="C43" i="108"/>
  <c r="BM42" i="108"/>
  <c r="BL42" i="108"/>
  <c r="BK42" i="108"/>
  <c r="BJ42" i="108"/>
  <c r="BT42" i="108" s="1"/>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U40" i="108" s="1"/>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U38" i="108" s="1"/>
  <c r="BD38" i="108"/>
  <c r="AG38" i="108"/>
  <c r="S38" i="108"/>
  <c r="B38" i="108" s="1"/>
  <c r="L38" i="108"/>
  <c r="J38" i="108"/>
  <c r="H38" i="108"/>
  <c r="F38" i="108"/>
  <c r="D38" i="108"/>
  <c r="C38" i="108"/>
  <c r="BM37" i="108"/>
  <c r="BL37" i="108"/>
  <c r="BK37" i="108"/>
  <c r="BJ37" i="108"/>
  <c r="BI37" i="108"/>
  <c r="BT37" i="108" s="1"/>
  <c r="BH37" i="108"/>
  <c r="BD37" i="108"/>
  <c r="M6" i="111" s="1"/>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F11" i="108" s="1"/>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M4" i="107"/>
  <c r="K4" i="107"/>
  <c r="I4" i="107"/>
  <c r="G4" i="107"/>
  <c r="E4" i="107"/>
  <c r="Q3" i="107" s="1"/>
  <c r="M31" i="107"/>
  <c r="M60" i="107"/>
  <c r="DR4" i="16"/>
  <c r="D59" i="107"/>
  <c r="B31" i="107"/>
  <c r="D51" i="107" s="1"/>
  <c r="D52" i="107" s="1"/>
  <c r="N51" i="107"/>
  <c r="N52" i="107" s="1"/>
  <c r="D30" i="107"/>
  <c r="D22" i="107"/>
  <c r="D23" i="107" s="1"/>
  <c r="B3" i="107"/>
  <c r="D1" i="107"/>
  <c r="P8" i="113" s="1"/>
  <c r="W82" i="108"/>
  <c r="CY2" i="16"/>
  <c r="D60" i="107" s="1"/>
  <c r="DI1" i="16"/>
  <c r="AD61" i="108" s="1"/>
  <c r="N61" i="108" s="1"/>
  <c r="DI16" i="16"/>
  <c r="CY9" i="16"/>
  <c r="BW5" i="16"/>
  <c r="Z4" i="57" s="1"/>
  <c r="BC7" i="16"/>
  <c r="Z64" i="55" s="1"/>
  <c r="X34" i="55"/>
  <c r="AH14" i="16"/>
  <c r="AH12" i="16"/>
  <c r="V4" i="16"/>
  <c r="N13" i="16"/>
  <c r="N12" i="16"/>
  <c r="O12" i="16"/>
  <c r="Y82" i="58"/>
  <c r="Y88" i="58" s="1"/>
  <c r="Z76" i="58" s="1"/>
  <c r="I76" i="58" s="1"/>
  <c r="F22" i="107"/>
  <c r="F23" i="107" s="1"/>
  <c r="BL6" i="16"/>
  <c r="BL5" i="16"/>
  <c r="AS7" i="16"/>
  <c r="X7" i="16"/>
  <c r="X5" i="16"/>
  <c r="Y5" i="16"/>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F45" i="58" s="1"/>
  <c r="BD45" i="58"/>
  <c r="BM44" i="58"/>
  <c r="BL44" i="58"/>
  <c r="BK44" i="58"/>
  <c r="BJ44" i="58"/>
  <c r="BI44" i="58"/>
  <c r="BH44" i="58"/>
  <c r="BD44" i="58"/>
  <c r="BM43" i="58"/>
  <c r="BL43" i="58"/>
  <c r="BK43" i="58"/>
  <c r="BJ43" i="58"/>
  <c r="BI43" i="58"/>
  <c r="BH43" i="58"/>
  <c r="BP43" i="58" s="1"/>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P15" i="58" s="1"/>
  <c r="BD15" i="58"/>
  <c r="BM14" i="58"/>
  <c r="BF14" i="58" s="1"/>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F9" i="58" s="1"/>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U104" i="57" s="1"/>
  <c r="BH104" i="57"/>
  <c r="BD104" i="57"/>
  <c r="BM103" i="57"/>
  <c r="BL103" i="57"/>
  <c r="BK103" i="57"/>
  <c r="BJ103" i="57"/>
  <c r="BI103" i="57"/>
  <c r="BH103" i="57"/>
  <c r="BD103" i="57"/>
  <c r="BM102" i="57"/>
  <c r="BF102" i="57" s="1"/>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P97" i="57" s="1"/>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T75" i="57" s="1"/>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G68" i="57" s="1"/>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F43" i="57" s="1"/>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P39" i="57" s="1"/>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U14" i="57" s="1"/>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U77" i="55" s="1"/>
  <c r="BD77" i="55"/>
  <c r="BM76" i="55"/>
  <c r="BL76" i="55"/>
  <c r="BK76" i="55"/>
  <c r="BJ76" i="55"/>
  <c r="BI76" i="55"/>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G70" i="55" s="1"/>
  <c r="BJ70" i="55"/>
  <c r="BI70" i="55"/>
  <c r="BH70" i="55"/>
  <c r="BD70" i="55"/>
  <c r="BM69" i="55"/>
  <c r="BL69" i="55"/>
  <c r="BK69" i="55"/>
  <c r="BJ69" i="55"/>
  <c r="BI69" i="55"/>
  <c r="BH69" i="55"/>
  <c r="BD69" i="55"/>
  <c r="BM68" i="55"/>
  <c r="BL68" i="55"/>
  <c r="BK68" i="55"/>
  <c r="BJ68" i="55"/>
  <c r="BI68" i="55"/>
  <c r="BU68" i="55" s="1"/>
  <c r="BH68" i="55"/>
  <c r="BD68" i="55"/>
  <c r="BM67" i="55"/>
  <c r="BL67" i="55"/>
  <c r="BK67" i="55"/>
  <c r="BJ67" i="55"/>
  <c r="BI67" i="55"/>
  <c r="BH67" i="55"/>
  <c r="BD67" i="55"/>
  <c r="BC50" i="55"/>
  <c r="BM48" i="55"/>
  <c r="BL48" i="55"/>
  <c r="BG48" i="55" s="1"/>
  <c r="BK48" i="55"/>
  <c r="BJ48" i="55"/>
  <c r="BI48" i="55"/>
  <c r="BH48" i="55"/>
  <c r="BP48" i="55" s="1"/>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U41" i="55" s="1"/>
  <c r="BH41" i="55"/>
  <c r="BD41" i="55"/>
  <c r="BM40" i="55"/>
  <c r="BL40" i="55"/>
  <c r="BK40" i="55"/>
  <c r="BJ40" i="55"/>
  <c r="BI40" i="55"/>
  <c r="BH40" i="55"/>
  <c r="BD40" i="55"/>
  <c r="BM39" i="55"/>
  <c r="BL39" i="55"/>
  <c r="BK39" i="55"/>
  <c r="BJ39" i="55"/>
  <c r="BI39" i="55"/>
  <c r="BH39" i="55"/>
  <c r="BD39" i="55"/>
  <c r="BM38" i="55"/>
  <c r="BL38" i="55"/>
  <c r="BK38" i="55"/>
  <c r="BJ38" i="55"/>
  <c r="BT38" i="55" s="1"/>
  <c r="BI38" i="55"/>
  <c r="BH38" i="55"/>
  <c r="BD38" i="55"/>
  <c r="BM37" i="55"/>
  <c r="BL37" i="55"/>
  <c r="BK37" i="55"/>
  <c r="BJ37" i="55"/>
  <c r="BI37" i="55"/>
  <c r="BH37" i="55"/>
  <c r="BD37" i="55"/>
  <c r="BC20" i="55"/>
  <c r="BM18" i="55"/>
  <c r="BL18" i="55"/>
  <c r="BK18" i="55"/>
  <c r="BJ18" i="55"/>
  <c r="BI18" i="55"/>
  <c r="BU18" i="55" s="1"/>
  <c r="BH18" i="55"/>
  <c r="BD18" i="55"/>
  <c r="BM17" i="55"/>
  <c r="BL17" i="55"/>
  <c r="BK17" i="55"/>
  <c r="BJ17" i="55"/>
  <c r="BI17" i="55"/>
  <c r="BH17" i="55"/>
  <c r="BD17" i="55"/>
  <c r="BM16" i="55"/>
  <c r="BL16" i="55"/>
  <c r="BK16" i="55"/>
  <c r="BJ16" i="55"/>
  <c r="BI16" i="55"/>
  <c r="BH16" i="55"/>
  <c r="BD16" i="55"/>
  <c r="BM15" i="55"/>
  <c r="BL15" i="55"/>
  <c r="BK15" i="55"/>
  <c r="BF15" i="55" s="1"/>
  <c r="BJ15" i="55"/>
  <c r="BI15" i="55"/>
  <c r="BH15" i="55"/>
  <c r="BD15" i="55"/>
  <c r="BM14" i="55"/>
  <c r="BL14" i="55"/>
  <c r="BK14" i="55"/>
  <c r="BJ14" i="55"/>
  <c r="BI14" i="55"/>
  <c r="BH14" i="55"/>
  <c r="BD14" i="55"/>
  <c r="BM13" i="55"/>
  <c r="BL13" i="55"/>
  <c r="BT13" i="55" s="1"/>
  <c r="BK13" i="55"/>
  <c r="BJ13" i="55"/>
  <c r="BI13" i="55"/>
  <c r="BH13" i="55"/>
  <c r="BD13" i="55"/>
  <c r="BM12" i="55"/>
  <c r="BL12" i="55"/>
  <c r="BK12" i="55"/>
  <c r="BJ12" i="55"/>
  <c r="BI12" i="55"/>
  <c r="BH12" i="55"/>
  <c r="BD12" i="55"/>
  <c r="BM11" i="55"/>
  <c r="BL11" i="55"/>
  <c r="BK11" i="55"/>
  <c r="BJ11" i="55"/>
  <c r="BI11" i="55"/>
  <c r="BH11" i="55"/>
  <c r="BD11" i="55"/>
  <c r="BM10" i="55"/>
  <c r="BL10" i="55"/>
  <c r="BK10" i="55"/>
  <c r="BJ10" i="55"/>
  <c r="BI10" i="55"/>
  <c r="BH10" i="55"/>
  <c r="BD10" i="55"/>
  <c r="BM9" i="55"/>
  <c r="BL9" i="55"/>
  <c r="BK9" i="55"/>
  <c r="BJ9" i="55"/>
  <c r="BI9" i="55"/>
  <c r="BH9" i="55"/>
  <c r="BP9" i="55" s="1"/>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F75" i="53" s="1"/>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P47" i="53" s="1"/>
  <c r="BI47" i="53"/>
  <c r="BH47" i="53"/>
  <c r="BD47" i="53"/>
  <c r="BM46" i="53"/>
  <c r="BL46" i="53"/>
  <c r="BK46" i="53"/>
  <c r="BJ46" i="53"/>
  <c r="BI46" i="53"/>
  <c r="BH46" i="53"/>
  <c r="BD46" i="53"/>
  <c r="BM45" i="53"/>
  <c r="BL45" i="53"/>
  <c r="BK45" i="53"/>
  <c r="BJ45" i="53"/>
  <c r="BI45" i="53"/>
  <c r="BH45" i="53"/>
  <c r="BD45" i="53"/>
  <c r="BM44" i="53"/>
  <c r="BL44" i="53"/>
  <c r="BP44" i="53" s="1"/>
  <c r="BK44" i="53"/>
  <c r="BJ44" i="53"/>
  <c r="BI44" i="53"/>
  <c r="BH44" i="53"/>
  <c r="BD44" i="53"/>
  <c r="BM43" i="53"/>
  <c r="BL43" i="53"/>
  <c r="BK43" i="53"/>
  <c r="BJ43" i="53"/>
  <c r="BI43" i="53"/>
  <c r="BH43" i="53"/>
  <c r="BD43" i="53"/>
  <c r="BM42" i="53"/>
  <c r="BT42" i="53" s="1"/>
  <c r="BL42" i="53"/>
  <c r="BK42" i="53"/>
  <c r="BJ42" i="53"/>
  <c r="BI42" i="53"/>
  <c r="BH42" i="53"/>
  <c r="BD42" i="53"/>
  <c r="BM41" i="53"/>
  <c r="BL41" i="53"/>
  <c r="BK41" i="53"/>
  <c r="BJ41" i="53"/>
  <c r="BI41" i="53"/>
  <c r="BH41" i="53"/>
  <c r="BD41" i="53"/>
  <c r="BM40" i="53"/>
  <c r="BL40" i="53"/>
  <c r="BK40" i="53"/>
  <c r="BU40" i="53" s="1"/>
  <c r="BJ40" i="53"/>
  <c r="BI40" i="53"/>
  <c r="BH40" i="53"/>
  <c r="BD40" i="53"/>
  <c r="BM39" i="53"/>
  <c r="BP39" i="53" s="1"/>
  <c r="BL39" i="53"/>
  <c r="BK39" i="53"/>
  <c r="BJ39" i="53"/>
  <c r="BI39" i="53"/>
  <c r="BH39" i="53"/>
  <c r="BD39" i="53"/>
  <c r="BM38" i="53"/>
  <c r="BL38" i="53"/>
  <c r="BK38" i="53"/>
  <c r="BJ38" i="53"/>
  <c r="BI38" i="53"/>
  <c r="BT38" i="53" s="1"/>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F15" i="53" s="1"/>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T11" i="53" s="1"/>
  <c r="BH11" i="53"/>
  <c r="BD11" i="53"/>
  <c r="BM10" i="53"/>
  <c r="BT10" i="53" s="1"/>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U74" i="52" s="1"/>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F70" i="52" s="1"/>
  <c r="BH70" i="52"/>
  <c r="BD70" i="52"/>
  <c r="BM69" i="52"/>
  <c r="BL69" i="52"/>
  <c r="BT69" i="52" s="1"/>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P47" i="52" s="1"/>
  <c r="BH47" i="52"/>
  <c r="BD47" i="52"/>
  <c r="BM46" i="52"/>
  <c r="BL46" i="52"/>
  <c r="BK46" i="52"/>
  <c r="BJ46" i="52"/>
  <c r="BI46" i="52"/>
  <c r="BH46" i="52"/>
  <c r="BD46" i="52"/>
  <c r="BM45" i="52"/>
  <c r="BL45" i="52"/>
  <c r="BK45" i="52"/>
  <c r="BJ45" i="52"/>
  <c r="BI45" i="52"/>
  <c r="BH45" i="52"/>
  <c r="BD45" i="52"/>
  <c r="BM44" i="52"/>
  <c r="BL44" i="52"/>
  <c r="BK44" i="52"/>
  <c r="BF44" i="52" s="1"/>
  <c r="BJ44" i="52"/>
  <c r="BI44" i="52"/>
  <c r="BH44" i="52"/>
  <c r="BD44" i="52"/>
  <c r="BM43" i="52"/>
  <c r="BL43" i="52"/>
  <c r="BK43" i="52"/>
  <c r="BJ43" i="52"/>
  <c r="BI43" i="52"/>
  <c r="BH43" i="52"/>
  <c r="BD43" i="52"/>
  <c r="BM42" i="52"/>
  <c r="BL42" i="52"/>
  <c r="BG42" i="52" s="1"/>
  <c r="BK42" i="52"/>
  <c r="BJ42" i="52"/>
  <c r="BI42" i="52"/>
  <c r="BH42" i="52"/>
  <c r="BD42" i="52"/>
  <c r="BM41" i="52"/>
  <c r="BL41" i="52"/>
  <c r="BK41" i="52"/>
  <c r="BJ41" i="52"/>
  <c r="BI41" i="52"/>
  <c r="BH41" i="52"/>
  <c r="BD41" i="52"/>
  <c r="BM40" i="52"/>
  <c r="BL40" i="52"/>
  <c r="BK40" i="52"/>
  <c r="BJ40" i="52"/>
  <c r="BF40" i="52" s="1"/>
  <c r="BI40" i="52"/>
  <c r="BH40" i="52"/>
  <c r="BD40" i="52"/>
  <c r="BM39" i="52"/>
  <c r="BL39" i="52"/>
  <c r="BK39" i="52"/>
  <c r="BJ39" i="52"/>
  <c r="BI39" i="52"/>
  <c r="BH39" i="52"/>
  <c r="BD39" i="52"/>
  <c r="BM38" i="52"/>
  <c r="BL38" i="52"/>
  <c r="BK38" i="52"/>
  <c r="BJ38" i="52"/>
  <c r="BI38" i="52"/>
  <c r="BH38" i="52"/>
  <c r="BP38" i="52" s="1"/>
  <c r="BD38" i="52"/>
  <c r="BM37" i="52"/>
  <c r="BL37" i="52"/>
  <c r="BP37" i="52" s="1"/>
  <c r="BK37" i="52"/>
  <c r="BJ37" i="52"/>
  <c r="BI37" i="52"/>
  <c r="BH37" i="52"/>
  <c r="BD37" i="52"/>
  <c r="BM18" i="52"/>
  <c r="BL18" i="52"/>
  <c r="BK18" i="52"/>
  <c r="BJ18" i="52"/>
  <c r="BI18" i="52"/>
  <c r="BH18" i="52"/>
  <c r="BM17" i="52"/>
  <c r="BL17" i="52"/>
  <c r="BU17" i="52" s="1"/>
  <c r="BK17" i="52"/>
  <c r="BJ17" i="52"/>
  <c r="BI17" i="52"/>
  <c r="BH17" i="52"/>
  <c r="BM16" i="52"/>
  <c r="BL16" i="52"/>
  <c r="BK16" i="52"/>
  <c r="BJ16" i="52"/>
  <c r="BI16" i="52"/>
  <c r="BH16" i="52"/>
  <c r="BM15" i="52"/>
  <c r="BL15" i="52"/>
  <c r="BK15" i="52"/>
  <c r="BJ15" i="52"/>
  <c r="BI15" i="52"/>
  <c r="BH15" i="52"/>
  <c r="BU15" i="52" s="1"/>
  <c r="BM14" i="52"/>
  <c r="BL14" i="52"/>
  <c r="BK14" i="52"/>
  <c r="BU14" i="52" s="1"/>
  <c r="BJ14" i="52"/>
  <c r="BI14" i="52"/>
  <c r="BH14" i="52"/>
  <c r="BM13" i="52"/>
  <c r="BL13" i="52"/>
  <c r="BK13" i="52"/>
  <c r="BJ13" i="52"/>
  <c r="BI13" i="52"/>
  <c r="BH13" i="52"/>
  <c r="BT13" i="52" s="1"/>
  <c r="BM12" i="52"/>
  <c r="BL12" i="52"/>
  <c r="BK12" i="52"/>
  <c r="BJ12" i="52"/>
  <c r="BT12" i="52" s="1"/>
  <c r="BI12" i="52"/>
  <c r="BH12" i="52"/>
  <c r="BM11" i="52"/>
  <c r="BL11" i="52"/>
  <c r="BK11" i="52"/>
  <c r="BJ11" i="52"/>
  <c r="BI11" i="52"/>
  <c r="BH11" i="52"/>
  <c r="BM10" i="52"/>
  <c r="BL10" i="52"/>
  <c r="BK10" i="52"/>
  <c r="BJ10" i="52"/>
  <c r="BI10" i="52"/>
  <c r="BH10" i="52"/>
  <c r="BM9" i="52"/>
  <c r="BL9" i="52"/>
  <c r="BP9" i="52" s="1"/>
  <c r="BK9" i="52"/>
  <c r="BJ9" i="52"/>
  <c r="BI9" i="52"/>
  <c r="BH9" i="52"/>
  <c r="BM8" i="52"/>
  <c r="BL8" i="52"/>
  <c r="BK8" i="52"/>
  <c r="BJ8" i="52"/>
  <c r="BI8" i="52"/>
  <c r="BH8" i="52"/>
  <c r="BM7" i="52"/>
  <c r="AE79" i="58"/>
  <c r="AG78" i="58"/>
  <c r="BE78" i="58"/>
  <c r="AG77" i="58"/>
  <c r="AG76" i="58"/>
  <c r="AG75" i="58"/>
  <c r="AG74" i="58"/>
  <c r="N74" i="58" s="1"/>
  <c r="BE74" i="58"/>
  <c r="AG73" i="58"/>
  <c r="AG72" i="58"/>
  <c r="AG71" i="58"/>
  <c r="AG70" i="58"/>
  <c r="BE70" i="58" s="1"/>
  <c r="AG69" i="58"/>
  <c r="AG68" i="58"/>
  <c r="AG67" i="58"/>
  <c r="AE49" i="58"/>
  <c r="AG48" i="58"/>
  <c r="BE48" i="58"/>
  <c r="AG47" i="58"/>
  <c r="AG46" i="58"/>
  <c r="BE46" i="58"/>
  <c r="AG45" i="58"/>
  <c r="N45" i="58" s="1"/>
  <c r="AG44" i="58"/>
  <c r="N44" i="58" s="1"/>
  <c r="AG43" i="58"/>
  <c r="AG42" i="58"/>
  <c r="BE42" i="58"/>
  <c r="AG41" i="58"/>
  <c r="AG40" i="58"/>
  <c r="BE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BE106" i="57"/>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c r="AG14" i="53"/>
  <c r="AG13" i="53"/>
  <c r="AG12" i="53"/>
  <c r="BE12" i="53"/>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G49" i="52" s="1"/>
  <c r="AE19" i="52"/>
  <c r="CX4" i="16"/>
  <c r="CD4" i="16"/>
  <c r="BJ4" i="16"/>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c r="Y79" i="58"/>
  <c r="H79" i="58" s="1"/>
  <c r="W79" i="58"/>
  <c r="F79" i="58" s="1"/>
  <c r="U79" i="58"/>
  <c r="D79" i="58" s="1"/>
  <c r="AC49" i="58"/>
  <c r="L49" i="58" s="1"/>
  <c r="AA49" i="58"/>
  <c r="J49" i="58" s="1"/>
  <c r="Y49" i="58"/>
  <c r="H49" i="58"/>
  <c r="W49" i="58"/>
  <c r="F49" i="58"/>
  <c r="U49" i="58"/>
  <c r="AC19" i="58"/>
  <c r="L19" i="58" s="1"/>
  <c r="AA19" i="58"/>
  <c r="J19" i="58" s="1"/>
  <c r="Y19" i="58"/>
  <c r="W19" i="58"/>
  <c r="F19" i="58" s="1"/>
  <c r="U19" i="58"/>
  <c r="D19" i="58" s="1"/>
  <c r="AC109" i="57"/>
  <c r="L109" i="57" s="1"/>
  <c r="AA109" i="57"/>
  <c r="J109" i="57" s="1"/>
  <c r="Y109" i="57"/>
  <c r="H109" i="57" s="1"/>
  <c r="W109" i="57"/>
  <c r="F109" i="57" s="1"/>
  <c r="U109" i="57"/>
  <c r="D109" i="57" s="1"/>
  <c r="AC79" i="57"/>
  <c r="L79" i="57" s="1"/>
  <c r="AA79" i="57"/>
  <c r="J79" i="57" s="1"/>
  <c r="Y79" i="57"/>
  <c r="W79" i="57"/>
  <c r="F79" i="57" s="1"/>
  <c r="U79" i="57"/>
  <c r="D79" i="57" s="1"/>
  <c r="AC49" i="57"/>
  <c r="AA49" i="57"/>
  <c r="J49" i="57" s="1"/>
  <c r="Y49" i="57"/>
  <c r="W49" i="57"/>
  <c r="U49" i="57"/>
  <c r="D49" i="57"/>
  <c r="AC19" i="57"/>
  <c r="AA19" i="57"/>
  <c r="J19" i="57" s="1"/>
  <c r="Y19" i="57"/>
  <c r="H19" i="57" s="1"/>
  <c r="W19" i="57"/>
  <c r="U19" i="57"/>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F51" i="86" s="1"/>
  <c r="F52" i="86" s="1"/>
  <c r="B31" i="85"/>
  <c r="E33" i="85" s="1"/>
  <c r="Q32" i="85" s="1"/>
  <c r="B31" i="84"/>
  <c r="D51" i="84" s="1"/>
  <c r="D52" i="84" s="1"/>
  <c r="B31" i="45"/>
  <c r="G33" i="45" s="1"/>
  <c r="B31" i="41"/>
  <c r="B60" i="41" s="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s="1"/>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BR37" i="58" s="1"/>
  <c r="BR38" i="58" s="1"/>
  <c r="BR39" i="58" s="1"/>
  <c r="BR40" i="58" s="1"/>
  <c r="BR41" i="58" s="1"/>
  <c r="BR42" i="58" s="1"/>
  <c r="BR43" i="58" s="1"/>
  <c r="BR44" i="58" s="1"/>
  <c r="BR45" i="58" s="1"/>
  <c r="BR46" i="58" s="1"/>
  <c r="BR47" i="58" s="1"/>
  <c r="BR48" i="58" s="1"/>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R7" i="58" s="1"/>
  <c r="BR8" i="58" s="1"/>
  <c r="BR9" i="58" s="1"/>
  <c r="BR10" i="58" s="1"/>
  <c r="BR11" i="58" s="1"/>
  <c r="BR12" i="58" s="1"/>
  <c r="BR13" i="58" s="1"/>
  <c r="BR14" i="58" s="1"/>
  <c r="BR15" i="58" s="1"/>
  <c r="BR16" i="58" s="1"/>
  <c r="BR17" i="58" s="1"/>
  <c r="BR18" i="58" s="1"/>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BK2" i="16"/>
  <c r="AQ2" i="16"/>
  <c r="V62" i="55" s="1"/>
  <c r="E62" i="55" s="1"/>
  <c r="BA1" i="16"/>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BF7" i="52" s="1"/>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70" i="58"/>
  <c r="N16" i="55"/>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V4" i="55"/>
  <c r="AH3" i="55" s="1"/>
  <c r="E94" i="57"/>
  <c r="M6" i="16"/>
  <c r="V34" i="52" s="1"/>
  <c r="AH33" i="52" s="1"/>
  <c r="B32" i="45"/>
  <c r="X64" i="52"/>
  <c r="V94" i="57"/>
  <c r="E4" i="84"/>
  <c r="Q3" i="84" s="1"/>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E70" i="52"/>
  <c r="N70" i="52"/>
  <c r="BE8" i="58"/>
  <c r="N8" i="58"/>
  <c r="N72" i="53"/>
  <c r="BE72" i="53"/>
  <c r="BU18" i="52"/>
  <c r="BG48" i="52"/>
  <c r="N108" i="57"/>
  <c r="BP68" i="52"/>
  <c r="BG68" i="52"/>
  <c r="BU68" i="53"/>
  <c r="BT68" i="53"/>
  <c r="N8" i="55"/>
  <c r="BG40" i="58"/>
  <c r="BU42" i="58"/>
  <c r="BU44" i="57"/>
  <c r="BP42" i="58"/>
  <c r="BP71" i="55"/>
  <c r="BG70" i="57"/>
  <c r="BP78" i="58"/>
  <c r="E33" i="86"/>
  <c r="Q32" i="86" s="1"/>
  <c r="V34" i="58"/>
  <c r="AH33" i="58" s="1"/>
  <c r="S40" i="55"/>
  <c r="B40" i="55" s="1"/>
  <c r="S37" i="53"/>
  <c r="B37" i="53" s="1"/>
  <c r="S46" i="52"/>
  <c r="B46" i="52" s="1"/>
  <c r="S40" i="53"/>
  <c r="B40" i="53" s="1"/>
  <c r="S43" i="55"/>
  <c r="B43" i="55" s="1"/>
  <c r="D51" i="86"/>
  <c r="D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Z4" i="55"/>
  <c r="X4" i="55"/>
  <c r="G4" i="84"/>
  <c r="X94" i="57"/>
  <c r="X64" i="57"/>
  <c r="Z34" i="58"/>
  <c r="X34" i="58"/>
  <c r="Z64" i="57"/>
  <c r="Z94" i="57"/>
  <c r="I4" i="84"/>
  <c r="Z34" i="53"/>
  <c r="Z64" i="52"/>
  <c r="Y52" i="58"/>
  <c r="H52" i="58" s="1"/>
  <c r="H51" i="86"/>
  <c r="H52" i="86" s="1"/>
  <c r="Y82" i="57"/>
  <c r="H82" i="57" s="1"/>
  <c r="Y112" i="57"/>
  <c r="Y113" i="57" s="1"/>
  <c r="H113" i="57" s="1"/>
  <c r="X9" i="16"/>
  <c r="Y52" i="53"/>
  <c r="Y53" i="53" s="1"/>
  <c r="H53" i="53" s="1"/>
  <c r="Y82" i="52"/>
  <c r="H82" i="52" s="1"/>
  <c r="DR12" i="16"/>
  <c r="V64" i="52"/>
  <c r="AH63" i="52" s="1"/>
  <c r="K33" i="86"/>
  <c r="AB34" i="58"/>
  <c r="AB64" i="57"/>
  <c r="AB94" i="57"/>
  <c r="AB4" i="55"/>
  <c r="K4" i="84"/>
  <c r="AB34" i="53"/>
  <c r="AB64" i="52"/>
  <c r="AA52" i="58"/>
  <c r="J52" i="58" s="1"/>
  <c r="AA112" i="57"/>
  <c r="AA113" i="57" s="1"/>
  <c r="J113" i="57" s="1"/>
  <c r="AA82" i="57"/>
  <c r="AA52" i="53"/>
  <c r="J52" i="53" s="1"/>
  <c r="AA82" i="52"/>
  <c r="J82" i="52" s="1"/>
  <c r="DH5" i="16"/>
  <c r="AD34" i="58"/>
  <c r="CX6" i="16"/>
  <c r="M33" i="86"/>
  <c r="CD7" i="16"/>
  <c r="AD64" i="57"/>
  <c r="AD94" i="57"/>
  <c r="AD4" i="55"/>
  <c r="M4" i="84"/>
  <c r="AD34" i="53"/>
  <c r="AD64" i="52"/>
  <c r="AC52" i="58"/>
  <c r="L52" i="58" s="1"/>
  <c r="L51" i="86"/>
  <c r="L52" i="86" s="1"/>
  <c r="CN6" i="16"/>
  <c r="AC112" i="57"/>
  <c r="L112" i="57" s="1"/>
  <c r="AC82" i="57"/>
  <c r="AC83" i="57" s="1"/>
  <c r="L83" i="57" s="1"/>
  <c r="BT7" i="16"/>
  <c r="AC52" i="53"/>
  <c r="AF6" i="16"/>
  <c r="AC82" i="52"/>
  <c r="L82" i="52" s="1"/>
  <c r="AF34" i="58"/>
  <c r="O33" i="86"/>
  <c r="AF64" i="57"/>
  <c r="AF94" i="57"/>
  <c r="O4" i="84"/>
  <c r="AF4" i="55"/>
  <c r="BJ5" i="16"/>
  <c r="AF34" i="53"/>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BG47" i="58"/>
  <c r="DI7" i="16"/>
  <c r="CP7" i="16"/>
  <c r="V34" i="55"/>
  <c r="AH33" i="55" s="1"/>
  <c r="BB7" i="16"/>
  <c r="BB9" i="16" s="1"/>
  <c r="BA7" i="16"/>
  <c r="AG5" i="16"/>
  <c r="V4" i="53"/>
  <c r="AH3" i="53" s="1"/>
  <c r="Z34" i="108"/>
  <c r="CZ9" i="16"/>
  <c r="V2" i="108"/>
  <c r="E2" i="108" s="1"/>
  <c r="V62" i="108"/>
  <c r="E62" i="108" s="1"/>
  <c r="L1" i="45"/>
  <c r="Q6" i="90" s="1"/>
  <c r="L59" i="45"/>
  <c r="L59" i="84"/>
  <c r="P1" i="63"/>
  <c r="D31" i="85"/>
  <c r="V92" i="57"/>
  <c r="E92" i="57" s="1"/>
  <c r="V62" i="57"/>
  <c r="E62" i="57" s="1"/>
  <c r="M31" i="57"/>
  <c r="L30" i="107"/>
  <c r="L59" i="107"/>
  <c r="H22" i="86"/>
  <c r="H23" i="86" s="1"/>
  <c r="BE9" i="58"/>
  <c r="N9" i="58"/>
  <c r="BE45" i="52"/>
  <c r="N45" i="52"/>
  <c r="L59" i="41"/>
  <c r="BT73" i="53"/>
  <c r="BE14" i="53"/>
  <c r="N14" i="53"/>
  <c r="N42" i="53"/>
  <c r="BG75" i="53"/>
  <c r="BT75" i="53"/>
  <c r="N48" i="52"/>
  <c r="BU46" i="53"/>
  <c r="BF38" i="58"/>
  <c r="BG69" i="108"/>
  <c r="BP71" i="108"/>
  <c r="BU71" i="108"/>
  <c r="BF77" i="58"/>
  <c r="N45" i="53"/>
  <c r="BG39" i="58"/>
  <c r="BG73" i="108"/>
  <c r="BM6" i="16"/>
  <c r="BU37" i="58"/>
  <c r="BU17" i="108"/>
  <c r="BP17" i="108"/>
  <c r="BV6" i="16"/>
  <c r="BF16" i="108"/>
  <c r="BP16" i="108"/>
  <c r="BP74" i="58"/>
  <c r="BE8" i="108"/>
  <c r="BE9" i="108"/>
  <c r="BE45" i="108"/>
  <c r="BU47" i="108"/>
  <c r="BE74" i="108"/>
  <c r="V32" i="108"/>
  <c r="E32" i="108" s="1"/>
  <c r="L1" i="107"/>
  <c r="Q6" i="113" s="1"/>
  <c r="B63" i="108"/>
  <c r="BU6" i="16"/>
  <c r="V34" i="57"/>
  <c r="AH33" i="57" s="1"/>
  <c r="BF18" i="108"/>
  <c r="BG18" i="108"/>
  <c r="Z4" i="108"/>
  <c r="AB4" i="108"/>
  <c r="AD1" i="108"/>
  <c r="N1" i="108" s="1"/>
  <c r="AD31" i="108"/>
  <c r="N31" i="108" s="1"/>
  <c r="W23" i="52"/>
  <c r="F23" i="52" s="1"/>
  <c r="F49" i="57"/>
  <c r="H19" i="58"/>
  <c r="BP76" i="52"/>
  <c r="F51" i="41"/>
  <c r="F52" i="41" s="1"/>
  <c r="B32" i="41"/>
  <c r="H79" i="57"/>
  <c r="D49" i="58"/>
  <c r="BE47" i="55"/>
  <c r="DI9" i="16"/>
  <c r="E4" i="45"/>
  <c r="Q3" i="45" s="1"/>
  <c r="BU69" i="55"/>
  <c r="BT69" i="55"/>
  <c r="BP78" i="55"/>
  <c r="BF8" i="57"/>
  <c r="BT8" i="57"/>
  <c r="BU8" i="57"/>
  <c r="BG8" i="57"/>
  <c r="E4" i="52"/>
  <c r="BP44" i="55"/>
  <c r="BU44" i="55"/>
  <c r="H22" i="41"/>
  <c r="H23" i="41" s="1"/>
  <c r="F5" i="16"/>
  <c r="AA22" i="52" s="1"/>
  <c r="Y22" i="52"/>
  <c r="Y23" i="52" s="1"/>
  <c r="H23" i="52" s="1"/>
  <c r="E64" i="57"/>
  <c r="BE41" i="52"/>
  <c r="N41" i="52"/>
  <c r="BG13" i="52"/>
  <c r="N103" i="57"/>
  <c r="BE103" i="57"/>
  <c r="N68" i="55"/>
  <c r="BE68" i="55"/>
  <c r="BE39" i="55"/>
  <c r="N71" i="58"/>
  <c r="BE71" i="58"/>
  <c r="N12" i="52"/>
  <c r="BE12" i="52"/>
  <c r="N14" i="58"/>
  <c r="E64" i="52"/>
  <c r="B3" i="52"/>
  <c r="E34" i="58"/>
  <c r="AH5" i="16"/>
  <c r="X4" i="53" s="1"/>
  <c r="AG7" i="16"/>
  <c r="N41" i="55"/>
  <c r="J49" i="55"/>
  <c r="N73" i="52"/>
  <c r="BF67" i="58"/>
  <c r="N46" i="53"/>
  <c r="BE78" i="55"/>
  <c r="N78" i="55"/>
  <c r="BE11" i="58"/>
  <c r="N11" i="58"/>
  <c r="BG67" i="58"/>
  <c r="BG18" i="58"/>
  <c r="N40" i="57"/>
  <c r="BE40" i="57"/>
  <c r="BG43" i="58"/>
  <c r="BE78" i="53"/>
  <c r="N78" i="53"/>
  <c r="N74" i="55"/>
  <c r="BE74" i="55"/>
  <c r="BE71" i="57"/>
  <c r="BG78" i="53"/>
  <c r="BP14" i="58"/>
  <c r="BU14" i="58"/>
  <c r="BE10" i="108"/>
  <c r="N10" i="108"/>
  <c r="N12" i="108"/>
  <c r="BE12" i="108"/>
  <c r="BU68" i="108"/>
  <c r="BE76" i="108"/>
  <c r="N12" i="55"/>
  <c r="D31" i="107"/>
  <c r="H51" i="107"/>
  <c r="H52" i="107" s="1"/>
  <c r="B32" i="107"/>
  <c r="BG14" i="108"/>
  <c r="V4" i="108"/>
  <c r="AH3" i="108" s="1"/>
  <c r="AD4" i="108"/>
  <c r="N10" i="52"/>
  <c r="N7" i="52"/>
  <c r="AG19" i="52"/>
  <c r="N19" i="52" s="1"/>
  <c r="N9" i="52"/>
  <c r="V4" i="58"/>
  <c r="AH3" i="58" s="1"/>
  <c r="V62" i="53"/>
  <c r="E62" i="53" s="1"/>
  <c r="D31" i="45"/>
  <c r="D31" i="86"/>
  <c r="N15" i="58"/>
  <c r="F19" i="108"/>
  <c r="CF9" i="16"/>
  <c r="BE43" i="108"/>
  <c r="N44" i="108"/>
  <c r="N75" i="108"/>
  <c r="BE18" i="58"/>
  <c r="DA7" i="16"/>
  <c r="DB7" i="16" s="1"/>
  <c r="Y82" i="108"/>
  <c r="H82" i="108" s="1"/>
  <c r="BE45" i="58"/>
  <c r="BE72" i="52"/>
  <c r="N41" i="108"/>
  <c r="BE98" i="57"/>
  <c r="N73" i="108"/>
  <c r="V64" i="55"/>
  <c r="AH63" i="55" s="1"/>
  <c r="BA9" i="16"/>
  <c r="AD31" i="58"/>
  <c r="N31" i="58" s="1"/>
  <c r="L59" i="86"/>
  <c r="AD61" i="58"/>
  <c r="N61" i="58" s="1"/>
  <c r="AD1" i="58"/>
  <c r="P1" i="109" s="1"/>
  <c r="L30" i="86"/>
  <c r="E64" i="53"/>
  <c r="E34" i="53"/>
  <c r="DJ16" i="16"/>
  <c r="BG45" i="58"/>
  <c r="M9" i="16"/>
  <c r="BE9" i="55"/>
  <c r="BE78" i="57"/>
  <c r="E4" i="108"/>
  <c r="BU7" i="108"/>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D60" i="41"/>
  <c r="N11" i="53"/>
  <c r="BE11" i="53"/>
  <c r="BU8" i="55"/>
  <c r="BP8" i="55"/>
  <c r="BU43" i="58"/>
  <c r="BT43" i="58"/>
  <c r="N17" i="55"/>
  <c r="BE17" i="55"/>
  <c r="BT18" i="52"/>
  <c r="BP18" i="52"/>
  <c r="N37" i="58"/>
  <c r="BE37" i="58"/>
  <c r="BU16" i="53"/>
  <c r="N11" i="52"/>
  <c r="BE11" i="52"/>
  <c r="BP74" i="57"/>
  <c r="BF101" i="57"/>
  <c r="BP101" i="57"/>
  <c r="BF103" i="57"/>
  <c r="BF10" i="58"/>
  <c r="BP10" i="58"/>
  <c r="BG75" i="58"/>
  <c r="BT43" i="53"/>
  <c r="BF8" i="58"/>
  <c r="BU5" i="16"/>
  <c r="N13" i="52"/>
  <c r="BE13" i="52"/>
  <c r="BU13" i="52" s="1"/>
  <c r="BU18" i="57"/>
  <c r="BF72" i="57"/>
  <c r="BF74" i="57"/>
  <c r="BP75" i="58"/>
  <c r="BT75" i="58"/>
  <c r="N75" i="53"/>
  <c r="V4" i="52"/>
  <c r="AH3" i="52" s="1"/>
  <c r="N11" i="108"/>
  <c r="V4" i="57"/>
  <c r="AH3" i="57" s="1"/>
  <c r="N43" i="57"/>
  <c r="BU40" i="57"/>
  <c r="BU37" i="57"/>
  <c r="BP7" i="57"/>
  <c r="B17" i="108"/>
  <c r="BG16" i="57"/>
  <c r="BE16" i="57"/>
  <c r="BT13" i="57"/>
  <c r="BP10" i="57"/>
  <c r="BE7" i="57"/>
  <c r="N7" i="57"/>
  <c r="G33" i="84"/>
  <c r="F51" i="84"/>
  <c r="F52" i="84" s="1"/>
  <c r="J79" i="52"/>
  <c r="AG79" i="52"/>
  <c r="N79" i="52" s="1"/>
  <c r="L59" i="85"/>
  <c r="AD1" i="57"/>
  <c r="P1" i="70" s="1"/>
  <c r="M91" i="57"/>
  <c r="AD91" i="57"/>
  <c r="L1" i="85"/>
  <c r="Q6" i="92" s="1"/>
  <c r="AD61" i="57"/>
  <c r="L30" i="85"/>
  <c r="AC83" i="52"/>
  <c r="L83" i="52" s="1"/>
  <c r="X4" i="57"/>
  <c r="G4" i="85"/>
  <c r="BE72" i="58"/>
  <c r="N72" i="58"/>
  <c r="BE74" i="52"/>
  <c r="N74" i="52"/>
  <c r="BG37" i="52"/>
  <c r="BT39" i="52"/>
  <c r="BU39" i="52"/>
  <c r="BF39" i="52"/>
  <c r="D51" i="45"/>
  <c r="D52" i="45" s="1"/>
  <c r="K33" i="45"/>
  <c r="E33" i="45"/>
  <c r="Q32" i="45" s="1"/>
  <c r="I33" i="45"/>
  <c r="B60" i="45"/>
  <c r="BG12" i="55"/>
  <c r="BT12" i="55"/>
  <c r="BP12" i="55"/>
  <c r="BF74" i="58"/>
  <c r="BT74" i="58"/>
  <c r="BU74" i="58"/>
  <c r="CG9" i="16"/>
  <c r="BE37" i="52"/>
  <c r="N37" i="52"/>
  <c r="H80" i="86"/>
  <c r="H81" i="86" s="1"/>
  <c r="B61" i="86"/>
  <c r="V62" i="58"/>
  <c r="E62" i="58" s="1"/>
  <c r="D2" i="86"/>
  <c r="E8" i="93" s="1"/>
  <c r="D60" i="86"/>
  <c r="S47" i="52"/>
  <c r="B47" i="52" s="1"/>
  <c r="S46" i="55"/>
  <c r="BU72" i="52"/>
  <c r="BF72" i="52"/>
  <c r="BP72" i="52"/>
  <c r="BF67" i="57"/>
  <c r="BP67" i="57"/>
  <c r="BG74" i="58"/>
  <c r="BE100" i="57"/>
  <c r="N100" i="57"/>
  <c r="BE39" i="58"/>
  <c r="N39" i="58"/>
  <c r="BU8" i="52"/>
  <c r="BG8" i="52"/>
  <c r="BF8" i="52"/>
  <c r="BT76" i="55"/>
  <c r="D19" i="53"/>
  <c r="CQ7" i="16"/>
  <c r="L1" i="41"/>
  <c r="Q6" i="89"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E4" i="53"/>
  <c r="N45" i="55"/>
  <c r="BE45" i="55"/>
  <c r="BF106" i="57"/>
  <c r="BG15" i="58"/>
  <c r="BT40" i="58"/>
  <c r="BU18" i="108"/>
  <c r="N74" i="57"/>
  <c r="BB80" i="52"/>
  <c r="Z64" i="58"/>
  <c r="BU40" i="55"/>
  <c r="B61" i="45"/>
  <c r="BF73" i="58"/>
  <c r="BP70" i="58"/>
  <c r="BF70" i="58"/>
  <c r="BT70" i="58"/>
  <c r="BG70" i="58"/>
  <c r="BU67"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N37" i="57"/>
  <c r="BP44" i="58"/>
  <c r="BF42" i="108"/>
  <c r="BF48" i="52"/>
  <c r="BF39" i="58"/>
  <c r="BP47" i="58"/>
  <c r="BF13" i="52"/>
  <c r="BG7" i="108"/>
  <c r="BU11" i="58"/>
  <c r="BU12" i="108"/>
  <c r="BF7" i="58"/>
  <c r="BU9" i="53"/>
  <c r="BU17" i="53"/>
  <c r="BU14" i="108"/>
  <c r="BG11" i="108"/>
  <c r="BP8" i="108"/>
  <c r="BP18" i="108"/>
  <c r="N10" i="57"/>
  <c r="BU73" i="108"/>
  <c r="BU70" i="58"/>
  <c r="BT68" i="58"/>
  <c r="BE44" i="58"/>
  <c r="D19" i="57"/>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F10" i="57"/>
  <c r="BT10" i="57"/>
  <c r="BT11" i="57"/>
  <c r="BF11" i="57"/>
  <c r="BU11" i="57"/>
  <c r="BF17" i="57"/>
  <c r="BU45" i="57"/>
  <c r="BT45" i="57"/>
  <c r="BP45" i="57"/>
  <c r="BF45" i="57"/>
  <c r="BP46" i="57"/>
  <c r="BT46" i="57"/>
  <c r="BU46" i="57"/>
  <c r="BF46" i="57"/>
  <c r="BG46"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AG49" i="57"/>
  <c r="N14" i="57"/>
  <c r="BE14" i="57"/>
  <c r="BG43" i="57"/>
  <c r="BT43" i="57"/>
  <c r="BP43" i="57"/>
  <c r="BU43" i="57"/>
  <c r="BF42" i="57"/>
  <c r="BP42" i="57"/>
  <c r="BG42" i="57"/>
  <c r="N41" i="57"/>
  <c r="L19" i="57"/>
  <c r="BE102" i="57"/>
  <c r="N102" i="57"/>
  <c r="BU41" i="57"/>
  <c r="BF41" i="57"/>
  <c r="BP41" i="57"/>
  <c r="BG41" i="57"/>
  <c r="BT41" i="57"/>
  <c r="BE97" i="57"/>
  <c r="N97" i="57"/>
  <c r="BG37" i="57"/>
  <c r="BT37" i="57"/>
  <c r="BF37" i="57"/>
  <c r="BU17" i="57"/>
  <c r="BT17" i="57"/>
  <c r="BP17" i="57"/>
  <c r="BU43" i="55"/>
  <c r="BU46" i="55"/>
  <c r="BU70" i="53"/>
  <c r="BU10" i="53"/>
  <c r="BU73" i="53"/>
  <c r="Y83" i="52"/>
  <c r="H83" i="52" s="1"/>
  <c r="BU43" i="52"/>
  <c r="BB50" i="57"/>
  <c r="N49" i="57"/>
  <c r="DR5" i="16" l="1"/>
  <c r="I62" i="41"/>
  <c r="J80" i="41"/>
  <c r="J81" i="41" s="1"/>
  <c r="H80" i="41"/>
  <c r="H81" i="41" s="1"/>
  <c r="B60" i="107"/>
  <c r="B61" i="107" s="1"/>
  <c r="G33" i="107"/>
  <c r="L51" i="107"/>
  <c r="L52" i="107" s="1"/>
  <c r="J51" i="86"/>
  <c r="J52" i="86" s="1"/>
  <c r="AA83" i="52"/>
  <c r="J83" i="52" s="1"/>
  <c r="J51" i="107"/>
  <c r="J52" i="107" s="1"/>
  <c r="O33" i="45"/>
  <c r="H51" i="45"/>
  <c r="H52" i="45" s="1"/>
  <c r="I62" i="86"/>
  <c r="F51" i="45"/>
  <c r="F52" i="45" s="1"/>
  <c r="F51" i="107"/>
  <c r="F52" i="107" s="1"/>
  <c r="D51" i="41"/>
  <c r="D52" i="41" s="1"/>
  <c r="I33" i="86"/>
  <c r="E33" i="107"/>
  <c r="Q32" i="107" s="1"/>
  <c r="M33" i="45"/>
  <c r="G33" i="86"/>
  <c r="I33" i="107"/>
  <c r="CR16" i="16"/>
  <c r="I4" i="85"/>
  <c r="U55" i="53"/>
  <c r="V37" i="53" s="1"/>
  <c r="BU70" i="55"/>
  <c r="BP70" i="55"/>
  <c r="BF16" i="55"/>
  <c r="BT11"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V37" i="52" s="1"/>
  <c r="U83" i="57"/>
  <c r="D83" i="57" s="1"/>
  <c r="F112" i="57"/>
  <c r="W23" i="108"/>
  <c r="F23" i="108" s="1"/>
  <c r="AA53" i="53"/>
  <c r="J53" i="53" s="1"/>
  <c r="D82" i="58"/>
  <c r="W53" i="57"/>
  <c r="F53" i="57" s="1"/>
  <c r="W83" i="57"/>
  <c r="F83" i="57" s="1"/>
  <c r="W57" i="57"/>
  <c r="X43" i="57" s="1"/>
  <c r="G43" i="57"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U83" i="55"/>
  <c r="D83" i="55" s="1"/>
  <c r="BB50" i="52"/>
  <c r="N49" i="52"/>
  <c r="BB80" i="108"/>
  <c r="N79" i="108"/>
  <c r="BU42" i="53"/>
  <c r="N38" i="52"/>
  <c r="BU38" i="52"/>
  <c r="CS7" i="16"/>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F50" i="53" s="1"/>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M57" i="111"/>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F50" i="57" s="1"/>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G34"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F43" i="108"/>
  <c r="I4" i="58"/>
  <c r="I34" i="58"/>
  <c r="E64" i="58"/>
  <c r="E4" i="58"/>
  <c r="N46" i="57"/>
  <c r="BE46" i="57"/>
  <c r="BE76" i="57"/>
  <c r="N76" i="57"/>
  <c r="BE47" i="58"/>
  <c r="N47" i="58"/>
  <c r="BF43" i="55"/>
  <c r="BT43" i="55"/>
  <c r="BG43" i="55"/>
  <c r="BT70" i="55"/>
  <c r="BF70" i="55"/>
  <c r="BT7" i="57"/>
  <c r="BF7" i="57"/>
  <c r="BF20" i="57" s="1"/>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M75" i="111" s="1"/>
  <c r="N70" i="108"/>
  <c r="BT72" i="108"/>
  <c r="BF72" i="108"/>
  <c r="BP72" i="108"/>
  <c r="BE68" i="58"/>
  <c r="N68" i="58"/>
  <c r="W52" i="108"/>
  <c r="F52" i="108" s="1"/>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N13" i="57"/>
  <c r="CP9"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Q8" i="108" s="1"/>
  <c r="BE46" i="52"/>
  <c r="BU46" i="52" s="1"/>
  <c r="BV39" i="52" s="1"/>
  <c r="BW39" i="52" s="1"/>
  <c r="BF10" i="52"/>
  <c r="BF41" i="52"/>
  <c r="BF68" i="52"/>
  <c r="BT75" i="52"/>
  <c r="BG68" i="53"/>
  <c r="BT38" i="58"/>
  <c r="BF43" i="58"/>
  <c r="BT45" i="58"/>
  <c r="BU18" i="58"/>
  <c r="BF73" i="108"/>
  <c r="V64" i="108"/>
  <c r="AH63" i="108" s="1"/>
  <c r="BF40" i="108"/>
  <c r="M49" i="111"/>
  <c r="M97" i="111"/>
  <c r="BF68" i="58"/>
  <c r="BF75" i="58"/>
  <c r="J112" i="57"/>
  <c r="BF45" i="52"/>
  <c r="BT9" i="53"/>
  <c r="BF13" i="53"/>
  <c r="BG18" i="53"/>
  <c r="BT76" i="53"/>
  <c r="M27" i="111"/>
  <c r="M91" i="111"/>
  <c r="BU14" i="55"/>
  <c r="F51" i="85"/>
  <c r="F52" i="85" s="1"/>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U58" i="53"/>
  <c r="U85" i="108"/>
  <c r="D85" i="108" s="1"/>
  <c r="B16" i="58"/>
  <c r="W26" i="52"/>
  <c r="X10" i="52" s="1"/>
  <c r="G10" i="52" s="1"/>
  <c r="W88" i="52"/>
  <c r="F88" i="52"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W26" i="55"/>
  <c r="X10" i="55" s="1"/>
  <c r="G10" i="55" s="1"/>
  <c r="W27" i="55"/>
  <c r="Y115" i="57"/>
  <c r="U27" i="55"/>
  <c r="W28" i="55"/>
  <c r="X16" i="55" s="1"/>
  <c r="G16" i="55" s="1"/>
  <c r="H112" i="57"/>
  <c r="U28" i="55"/>
  <c r="W88" i="58"/>
  <c r="Y116" i="57"/>
  <c r="Z100" i="57" s="1"/>
  <c r="I100" i="57" s="1"/>
  <c r="U26" i="55"/>
  <c r="D26" i="55" s="1"/>
  <c r="AA58" i="58"/>
  <c r="Y83" i="57"/>
  <c r="H83" i="57" s="1"/>
  <c r="W25" i="55"/>
  <c r="X7" i="55" s="1"/>
  <c r="H28" i="52"/>
  <c r="AA53" i="58"/>
  <c r="J53" i="58" s="1"/>
  <c r="U117" i="57"/>
  <c r="V103" i="57" s="1"/>
  <c r="Y86" i="108"/>
  <c r="H22" i="52"/>
  <c r="D56" i="52"/>
  <c r="J22" i="52"/>
  <c r="AA27" i="52"/>
  <c r="AA23" i="52"/>
  <c r="J23" i="52" s="1"/>
  <c r="AA26" i="52"/>
  <c r="AA28" i="52"/>
  <c r="D22" i="52"/>
  <c r="U58" i="52"/>
  <c r="D112" i="57"/>
  <c r="U28" i="52"/>
  <c r="AA26" i="108"/>
  <c r="U53" i="52"/>
  <c r="D53" i="52" s="1"/>
  <c r="AE85" i="52"/>
  <c r="AC116" i="57"/>
  <c r="U113" i="57"/>
  <c r="D113" i="57" s="1"/>
  <c r="AA23" i="108"/>
  <c r="J23" i="108" s="1"/>
  <c r="AE88" i="52"/>
  <c r="AF76" i="52" s="1"/>
  <c r="AC117" i="57"/>
  <c r="AC113" i="57"/>
  <c r="L113" i="57" s="1"/>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A5" i="16"/>
  <c r="V64" i="53"/>
  <c r="AH63" i="53" s="1"/>
  <c r="AG9" i="16"/>
  <c r="E62" i="107"/>
  <c r="Q61" i="107" s="1"/>
  <c r="H80" i="107"/>
  <c r="H81" i="107" s="1"/>
  <c r="G62" i="45"/>
  <c r="E62" i="45"/>
  <c r="Q61" i="45" s="1"/>
  <c r="D80" i="45"/>
  <c r="D81" i="45" s="1"/>
  <c r="F80" i="45"/>
  <c r="F81" i="45" s="1"/>
  <c r="M2" i="111"/>
  <c r="M9" i="111"/>
  <c r="M10" i="111"/>
  <c r="M15" i="111"/>
  <c r="M18" i="111"/>
  <c r="M8" i="111"/>
  <c r="M7" i="111"/>
  <c r="M12" i="111"/>
  <c r="M19" i="111"/>
  <c r="M3" i="111"/>
  <c r="M13" i="111"/>
  <c r="M17" i="111"/>
  <c r="M5" i="111"/>
  <c r="M33" i="111"/>
  <c r="F80" i="107"/>
  <c r="F81" i="107" s="1"/>
  <c r="J80" i="107"/>
  <c r="J81" i="107" s="1"/>
  <c r="D80" i="107"/>
  <c r="D81" i="107" s="1"/>
  <c r="H88" i="58"/>
  <c r="B46" i="55"/>
  <c r="CS16" i="16"/>
  <c r="M62" i="111"/>
  <c r="M60" i="111"/>
  <c r="M16" i="111"/>
  <c r="AB64" i="58"/>
  <c r="M71" i="111"/>
  <c r="AD64" i="58"/>
  <c r="M62" i="86"/>
  <c r="AA22" i="53"/>
  <c r="M39" i="111"/>
  <c r="M63" i="111"/>
  <c r="M104" i="111"/>
  <c r="BF80" i="58"/>
  <c r="CT7" i="16"/>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G4" i="45"/>
  <c r="BB80" i="57"/>
  <c r="N79" i="57"/>
  <c r="AC53" i="53"/>
  <c r="L53" i="53" s="1"/>
  <c r="L52" i="53"/>
  <c r="DJ7" i="16"/>
  <c r="DJ9" i="16" s="1"/>
  <c r="BO6" i="16"/>
  <c r="BP48" i="108"/>
  <c r="N10" i="98"/>
  <c r="O10" i="98" s="1"/>
  <c r="AC57" i="58"/>
  <c r="BT100" i="57"/>
  <c r="BG100" i="57"/>
  <c r="BP100" i="57"/>
  <c r="BU9" i="58"/>
  <c r="BG9" i="58"/>
  <c r="N7" i="98" s="1"/>
  <c r="O7" i="98" s="1"/>
  <c r="BU12" i="58"/>
  <c r="BT12" i="58"/>
  <c r="BG12" i="58"/>
  <c r="AC22" i="52"/>
  <c r="H5" i="16"/>
  <c r="W23" i="55"/>
  <c r="F23" i="55" s="1"/>
  <c r="F22" i="55"/>
  <c r="M11" i="111"/>
  <c r="X64" i="58"/>
  <c r="G62" i="86"/>
  <c r="Y55" i="53"/>
  <c r="Y57" i="53"/>
  <c r="Y58" i="53"/>
  <c r="H52" i="53"/>
  <c r="J22" i="107"/>
  <c r="J23" i="107" s="1"/>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Q43" i="57" s="1"/>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Q39" i="108" s="1"/>
  <c r="BE67" i="58"/>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Q77" i="53" s="1"/>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AA82" i="58" l="1"/>
  <c r="J80" i="86"/>
  <c r="J81" i="86" s="1"/>
  <c r="Y59" i="58"/>
  <c r="Z49" i="58" s="1"/>
  <c r="I49" i="58" s="1"/>
  <c r="W88" i="55"/>
  <c r="X76" i="55" s="1"/>
  <c r="G76" i="55" s="1"/>
  <c r="D55" i="52"/>
  <c r="W83" i="55"/>
  <c r="F83" i="55" s="1"/>
  <c r="W85" i="55"/>
  <c r="F85" i="55" s="1"/>
  <c r="Y85" i="55"/>
  <c r="Z67" i="55" s="1"/>
  <c r="I67" i="55" s="1"/>
  <c r="Y86" i="55"/>
  <c r="H86" i="55" s="1"/>
  <c r="Y87" i="55"/>
  <c r="H87" i="55" s="1"/>
  <c r="H86" i="58"/>
  <c r="W87" i="55"/>
  <c r="X73" i="55" s="1"/>
  <c r="G73" i="55" s="1"/>
  <c r="E37" i="53"/>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A9" i="16"/>
  <c r="BB20" i="57"/>
  <c r="N19" i="57"/>
  <c r="M103" i="111"/>
  <c r="M101" i="111"/>
  <c r="M76" i="111"/>
  <c r="BQ72" i="55"/>
  <c r="BF20" i="55"/>
  <c r="M67" i="111"/>
  <c r="M79" i="111"/>
  <c r="M32" i="111"/>
  <c r="BY5"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AF50" i="58" s="1"/>
  <c r="U59" i="55"/>
  <c r="V49" i="55" s="1"/>
  <c r="E49" i="55" s="1"/>
  <c r="Y89" i="57"/>
  <c r="H89" i="57" s="1"/>
  <c r="U89" i="52"/>
  <c r="D89" i="52" s="1"/>
  <c r="H58" i="58"/>
  <c r="H25" i="52"/>
  <c r="Z16" i="55"/>
  <c r="I16" i="55" s="1"/>
  <c r="D25" i="58"/>
  <c r="F86" i="55"/>
  <c r="U59" i="108"/>
  <c r="D59" i="108"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F27" i="55"/>
  <c r="X13" i="55"/>
  <c r="V13" i="55"/>
  <c r="E13" i="55" s="1"/>
  <c r="D27" i="55"/>
  <c r="W29" i="55"/>
  <c r="F29" i="55" s="1"/>
  <c r="F25" i="55"/>
  <c r="Y119" i="57"/>
  <c r="H119" i="57" s="1"/>
  <c r="AB46" i="58"/>
  <c r="AA59" i="58"/>
  <c r="H86" i="108"/>
  <c r="Z70" i="108"/>
  <c r="I70" i="108" s="1"/>
  <c r="AF50" i="53"/>
  <c r="J58" i="58"/>
  <c r="AB79" i="52"/>
  <c r="J89" i="52"/>
  <c r="L89" i="52"/>
  <c r="AD79" i="52"/>
  <c r="M79" i="52" s="1"/>
  <c r="G7" i="55"/>
  <c r="J89" i="57"/>
  <c r="AB79" i="57"/>
  <c r="D119" i="57"/>
  <c r="V109" i="57"/>
  <c r="M70" i="52"/>
  <c r="AF80" i="57"/>
  <c r="X79" i="57"/>
  <c r="F89" i="57"/>
  <c r="V46" i="52"/>
  <c r="E46" i="52" s="1"/>
  <c r="D58" i="52"/>
  <c r="V43" i="52"/>
  <c r="D57" i="52"/>
  <c r="AD103" i="57"/>
  <c r="M103" i="57" s="1"/>
  <c r="L117" i="57"/>
  <c r="AB16" i="52"/>
  <c r="K16" i="52" s="1"/>
  <c r="J28" i="52"/>
  <c r="G16" i="108"/>
  <c r="X109" i="57"/>
  <c r="F119" i="57"/>
  <c r="J28" i="108"/>
  <c r="AB16" i="108"/>
  <c r="K16" i="108" s="1"/>
  <c r="AA29" i="108"/>
  <c r="J26" i="108"/>
  <c r="AB10" i="108"/>
  <c r="AB10" i="52"/>
  <c r="J26" i="52"/>
  <c r="AA29" i="52"/>
  <c r="AB13" i="52"/>
  <c r="K13" i="52" s="1"/>
  <c r="J27" i="52"/>
  <c r="L116" i="57"/>
  <c r="AD100" i="57"/>
  <c r="U29" i="52"/>
  <c r="V16" i="52"/>
  <c r="D28" i="52"/>
  <c r="U59" i="52"/>
  <c r="X80" i="52"/>
  <c r="G80" i="52" s="1"/>
  <c r="AF67" i="52"/>
  <c r="AE89" i="52"/>
  <c r="AF79" i="52"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O16" i="97" s="1"/>
  <c r="BQ42" i="55"/>
  <c r="BF110" i="57"/>
  <c r="N4" i="97"/>
  <c r="O4" i="97" s="1"/>
  <c r="N8" i="98"/>
  <c r="O8" i="98" s="1"/>
  <c r="M18" i="96"/>
  <c r="N7" i="111"/>
  <c r="O7" i="111" s="1"/>
  <c r="N11" i="97"/>
  <c r="O11" i="97" s="1"/>
  <c r="BQ70" i="108"/>
  <c r="BQ77" i="108"/>
  <c r="N18" i="97"/>
  <c r="O18" i="97" s="1"/>
  <c r="BQ72" i="57"/>
  <c r="N100" i="97"/>
  <c r="O100" i="97" s="1"/>
  <c r="G62" i="107"/>
  <c r="N7" i="97"/>
  <c r="O7" i="97" s="1"/>
  <c r="N9" i="97"/>
  <c r="O9" i="97" s="1"/>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L22" i="52"/>
  <c r="AC23" i="52"/>
  <c r="L23" i="52" s="1"/>
  <c r="AC26" i="52"/>
  <c r="AC27" i="52"/>
  <c r="AC25" i="52"/>
  <c r="AC28" i="52"/>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X5" i="16"/>
  <c r="CX12" i="16"/>
  <c r="BF50" i="58"/>
  <c r="BQ38" i="55"/>
  <c r="M4" i="97"/>
  <c r="M3" i="96"/>
  <c r="N18" i="111"/>
  <c r="O18" i="111" s="1"/>
  <c r="N6" i="111"/>
  <c r="O6" i="111" s="1"/>
  <c r="N19" i="97"/>
  <c r="O19" i="97" s="1"/>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BV72" i="58"/>
  <c r="N7" i="96"/>
  <c r="N15" i="96"/>
  <c r="O15" i="96" s="1"/>
  <c r="N8" i="96"/>
  <c r="O8" i="96" s="1"/>
  <c r="N13" i="96"/>
  <c r="O13" i="96" s="1"/>
  <c r="N6" i="96"/>
  <c r="N3" i="96"/>
  <c r="O3" i="96" s="1"/>
  <c r="N14" i="96"/>
  <c r="O14" i="96" s="1"/>
  <c r="N17" i="96"/>
  <c r="O17" i="96" s="1"/>
  <c r="N19" i="96"/>
  <c r="O19" i="96" s="1"/>
  <c r="N10" i="96"/>
  <c r="N12" i="96"/>
  <c r="O12" i="96" s="1"/>
  <c r="N11" i="96"/>
  <c r="N20" i="96"/>
  <c r="N95" i="96"/>
  <c r="O95" i="96" s="1"/>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O14" i="98" s="1"/>
  <c r="N76" i="98"/>
  <c r="O76" i="98" s="1"/>
  <c r="N12" i="98"/>
  <c r="O12" i="98" s="1"/>
  <c r="N5" i="98"/>
  <c r="O5" i="98" s="1"/>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O13" i="98" s="1"/>
  <c r="N18" i="98"/>
  <c r="O18" i="98" s="1"/>
  <c r="N99" i="98"/>
  <c r="O99" i="98" s="1"/>
  <c r="N6" i="98"/>
  <c r="O6" i="98" s="1"/>
  <c r="N98" i="98"/>
  <c r="O98" i="98" s="1"/>
  <c r="N2" i="98"/>
  <c r="O2" i="98" s="1"/>
  <c r="N20" i="98"/>
  <c r="O20" i="98" s="1"/>
  <c r="N19" i="98"/>
  <c r="O19" i="98" s="1"/>
  <c r="N4" i="98"/>
  <c r="O4" i="98" s="1"/>
  <c r="N15" i="98"/>
  <c r="O15" i="98" s="1"/>
  <c r="N16" i="98"/>
  <c r="O16" i="98" s="1"/>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O8" i="97" s="1"/>
  <c r="BQ71" i="108"/>
  <c r="N14" i="97"/>
  <c r="O14" i="97" s="1"/>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O13" i="97" s="1"/>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K16" i="16"/>
  <c r="DK7" i="16"/>
  <c r="N13" i="111"/>
  <c r="O13" i="111" s="1"/>
  <c r="E103" i="57"/>
  <c r="N29" i="111"/>
  <c r="O29" i="111" s="1"/>
  <c r="N4" i="111"/>
  <c r="O4" i="111" s="1"/>
  <c r="AB5" i="16"/>
  <c r="AF5" i="16" s="1"/>
  <c r="AC22" i="53"/>
  <c r="L22" i="45"/>
  <c r="L23" i="45" s="1"/>
  <c r="BQ76" i="53"/>
  <c r="BQ45" i="10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W10" i="108" s="1"/>
  <c r="BV68" i="108"/>
  <c r="BV41" i="108"/>
  <c r="BV15" i="108"/>
  <c r="BV42" i="108"/>
  <c r="BV9" i="108"/>
  <c r="BV40" i="108"/>
  <c r="D57" i="58"/>
  <c r="V43" i="58"/>
  <c r="U59" i="58"/>
  <c r="I70"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AA86" i="58" l="1"/>
  <c r="J82" i="58"/>
  <c r="AA85" i="58"/>
  <c r="AA83" i="58"/>
  <c r="J83" i="58" s="1"/>
  <c r="AA88" i="58"/>
  <c r="AA87" i="58"/>
  <c r="AC82" i="58"/>
  <c r="L80" i="107"/>
  <c r="L81" i="107" s="1"/>
  <c r="L80" i="86"/>
  <c r="L81" i="86" s="1"/>
  <c r="X20" i="108"/>
  <c r="G20" i="108" s="1"/>
  <c r="F88" i="55"/>
  <c r="H59" i="58"/>
  <c r="AD20" i="108"/>
  <c r="M20" i="108" s="1"/>
  <c r="X67" i="55"/>
  <c r="G67" i="55" s="1"/>
  <c r="H85" i="55"/>
  <c r="Z73" i="55"/>
  <c r="I73" i="55" s="1"/>
  <c r="Z70" i="55"/>
  <c r="I70" i="55" s="1"/>
  <c r="W89" i="55"/>
  <c r="X79" i="55" s="1"/>
  <c r="G79" i="55" s="1"/>
  <c r="F87" i="55"/>
  <c r="O2" i="96"/>
  <c r="O5" i="96"/>
  <c r="O4" i="96"/>
  <c r="O9" i="96"/>
  <c r="O10"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K76" i="108" s="1"/>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I43" i="57" s="1"/>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5" i="16" s="1"/>
  <c r="CD12" i="16"/>
  <c r="AC83" i="108"/>
  <c r="L83" i="108" s="1"/>
  <c r="AC88" i="108"/>
  <c r="AC85" i="108"/>
  <c r="L82" i="108"/>
  <c r="AC86" i="108"/>
  <c r="AC87" i="108"/>
  <c r="AD4" i="57"/>
  <c r="M4" i="85"/>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V19" i="53"/>
  <c r="V20" i="53" s="1"/>
  <c r="E20" i="53" s="1"/>
  <c r="V79" i="55"/>
  <c r="E79" i="55" s="1"/>
  <c r="X79" i="52"/>
  <c r="G79" i="52" s="1"/>
  <c r="AH103" i="57"/>
  <c r="O103" i="57" s="1"/>
  <c r="V79" i="57"/>
  <c r="E79" i="57" s="1"/>
  <c r="Z109" i="57"/>
  <c r="I109" i="57" s="1"/>
  <c r="F29" i="52"/>
  <c r="AH73" i="57"/>
  <c r="O73" i="57" s="1"/>
  <c r="P90" i="111"/>
  <c r="P59" i="111"/>
  <c r="P70" i="98"/>
  <c r="Z19" i="108"/>
  <c r="I19" i="108" s="1"/>
  <c r="AH70" i="52"/>
  <c r="O70" i="52" s="1"/>
  <c r="AD109" i="57"/>
  <c r="M109" i="57" s="1"/>
  <c r="AH16" i="108"/>
  <c r="O16" i="108" s="1"/>
  <c r="AD80" i="52"/>
  <c r="M80" i="52" s="1"/>
  <c r="P34" i="97"/>
  <c r="V19" i="57"/>
  <c r="E19" i="57" s="1"/>
  <c r="E73" i="52"/>
  <c r="AH73" i="52"/>
  <c r="O73" i="52" s="1"/>
  <c r="D59" i="53"/>
  <c r="V49" i="53"/>
  <c r="E49" i="53" s="1"/>
  <c r="I10" i="52"/>
  <c r="F59" i="58"/>
  <c r="X49" i="58"/>
  <c r="J119" i="57"/>
  <c r="AB109" i="57"/>
  <c r="K109" i="57" s="1"/>
  <c r="D29" i="55"/>
  <c r="AH76" i="52"/>
  <c r="O76" i="52" s="1"/>
  <c r="E7" i="108"/>
  <c r="AH7" i="108"/>
  <c r="O7"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D29" i="52"/>
  <c r="V19" i="52"/>
  <c r="E19" i="52" s="1"/>
  <c r="G109" i="57"/>
  <c r="X110" i="57"/>
  <c r="G110" i="57" s="1"/>
  <c r="M100" i="57"/>
  <c r="AH100" i="57"/>
  <c r="O100" i="57" s="1"/>
  <c r="K79" i="57"/>
  <c r="AB80" i="57"/>
  <c r="K80" i="57" s="1"/>
  <c r="K79" i="52"/>
  <c r="AB80" i="52"/>
  <c r="K80" i="52" s="1"/>
  <c r="AH67" i="52"/>
  <c r="AF80" i="52"/>
  <c r="G79" i="57"/>
  <c r="X80" i="57"/>
  <c r="G80" i="57" s="1"/>
  <c r="E19" i="55"/>
  <c r="J29" i="52"/>
  <c r="AB19" i="52"/>
  <c r="K19" i="52" s="1"/>
  <c r="V20" i="55"/>
  <c r="E20" i="55" s="1"/>
  <c r="G79" i="108"/>
  <c r="X80" i="108"/>
  <c r="G80" i="108" s="1"/>
  <c r="E43" i="52"/>
  <c r="V50" i="55"/>
  <c r="E50" i="55" s="1"/>
  <c r="K10" i="52"/>
  <c r="V80" i="52"/>
  <c r="E80" i="52" s="1"/>
  <c r="K10" i="108"/>
  <c r="AH10" i="108"/>
  <c r="P97" i="97"/>
  <c r="P69" i="111"/>
  <c r="BW10" i="53"/>
  <c r="BW73" i="53"/>
  <c r="BW68" i="108"/>
  <c r="BW8" i="108"/>
  <c r="BW10" i="55"/>
  <c r="BW71" i="55"/>
  <c r="P31" i="97"/>
  <c r="P62" i="97"/>
  <c r="P73" i="97"/>
  <c r="P29" i="111"/>
  <c r="BS7" i="57"/>
  <c r="BS17" i="57"/>
  <c r="BS99" i="57"/>
  <c r="BS70" i="53"/>
  <c r="BS18" i="53"/>
  <c r="BW42" i="58"/>
  <c r="BW8" i="58"/>
  <c r="BS7" i="58"/>
  <c r="BS41" i="58"/>
  <c r="P69" i="97"/>
  <c r="I46" i="57"/>
  <c r="P46" i="111"/>
  <c r="P31" i="111"/>
  <c r="P74" i="111"/>
  <c r="P104" i="111"/>
  <c r="P21" i="111"/>
  <c r="P56" i="97"/>
  <c r="AC58" i="57"/>
  <c r="L52" i="57"/>
  <c r="AC56" i="57"/>
  <c r="AC53" i="57"/>
  <c r="L53" i="57" s="1"/>
  <c r="AC57" i="57"/>
  <c r="AC55" i="57"/>
  <c r="P20" i="111"/>
  <c r="BS74" i="55"/>
  <c r="BS41" i="55"/>
  <c r="P65" i="98"/>
  <c r="P85" i="98"/>
  <c r="P50" i="98"/>
  <c r="P22" i="98"/>
  <c r="P103" i="98"/>
  <c r="P96" i="98"/>
  <c r="P12" i="98"/>
  <c r="P53" i="97"/>
  <c r="O4" i="86"/>
  <c r="AF4" i="58"/>
  <c r="CT9" i="16"/>
  <c r="BW75" i="57"/>
  <c r="BW106" i="57"/>
  <c r="BW101" i="57"/>
  <c r="P20" i="97"/>
  <c r="P18" i="97"/>
  <c r="P16" i="97"/>
  <c r="BS75" i="52"/>
  <c r="BS41" i="52"/>
  <c r="BS69" i="57"/>
  <c r="BS43" i="58"/>
  <c r="AE52" i="57"/>
  <c r="N51" i="85"/>
  <c r="N52" i="85" s="1"/>
  <c r="BT6" i="16"/>
  <c r="BS47" i="55"/>
  <c r="P54" i="98"/>
  <c r="P95" i="98"/>
  <c r="P60" i="98"/>
  <c r="P9" i="98"/>
  <c r="P58" i="98"/>
  <c r="P76" i="98"/>
  <c r="P19" i="97"/>
  <c r="BW18" i="57"/>
  <c r="BW9" i="57"/>
  <c r="N22" i="107"/>
  <c r="N23" i="107" s="1"/>
  <c r="N22" i="86"/>
  <c r="N23" i="86" s="1"/>
  <c r="CJ9" i="16"/>
  <c r="AE22" i="58"/>
  <c r="BS77" i="108"/>
  <c r="BS18" i="52"/>
  <c r="BS77" i="52"/>
  <c r="BS46" i="52"/>
  <c r="BW74" i="58"/>
  <c r="BW16" i="58"/>
  <c r="BS11" i="58"/>
  <c r="BS39" i="58"/>
  <c r="P13" i="97"/>
  <c r="P50" i="111"/>
  <c r="P83" i="111"/>
  <c r="P72" i="111"/>
  <c r="P61" i="111"/>
  <c r="P85" i="111"/>
  <c r="BW9" i="58"/>
  <c r="BS14" i="55"/>
  <c r="BS17" i="55"/>
  <c r="P34" i="98"/>
  <c r="P68" i="98"/>
  <c r="P44" i="98"/>
  <c r="P77" i="98"/>
  <c r="P16" i="98"/>
  <c r="P17" i="98"/>
  <c r="P14" i="98"/>
  <c r="P6" i="111"/>
  <c r="BW42" i="57"/>
  <c r="BW43" i="57"/>
  <c r="BW77" i="57"/>
  <c r="AC25" i="58"/>
  <c r="AC23" i="58"/>
  <c r="L23" i="58" s="1"/>
  <c r="AC28" i="58"/>
  <c r="AC26" i="58"/>
  <c r="L22" i="58"/>
  <c r="AC27" i="58"/>
  <c r="Z79" i="108"/>
  <c r="Z80" i="108" s="1"/>
  <c r="I80" i="108" s="1"/>
  <c r="H89" i="108"/>
  <c r="BS70" i="108"/>
  <c r="BS17" i="52"/>
  <c r="BS44" i="52"/>
  <c r="P15" i="97"/>
  <c r="BW70" i="108"/>
  <c r="BS15" i="57"/>
  <c r="P94" i="111"/>
  <c r="BS100" i="57"/>
  <c r="P78" i="97"/>
  <c r="P23" i="98"/>
  <c r="P25" i="98"/>
  <c r="P33" i="98"/>
  <c r="P55" i="98"/>
  <c r="P15" i="98"/>
  <c r="P100" i="98"/>
  <c r="BS43" i="108"/>
  <c r="BW45" i="57"/>
  <c r="BW74" i="57"/>
  <c r="BW46" i="57"/>
  <c r="I67" i="108"/>
  <c r="P11" i="97"/>
  <c r="BS71" i="52"/>
  <c r="BS72" i="52"/>
  <c r="P7" i="98"/>
  <c r="BS7" i="53"/>
  <c r="BS46" i="53"/>
  <c r="BD16" i="16"/>
  <c r="BW70" i="58"/>
  <c r="BW17" i="58"/>
  <c r="BS40" i="58"/>
  <c r="BS44" i="58"/>
  <c r="P39" i="111"/>
  <c r="P37" i="111"/>
  <c r="P70" i="111"/>
  <c r="P51" i="111"/>
  <c r="P19" i="111"/>
  <c r="P91" i="111"/>
  <c r="Z49" i="53"/>
  <c r="Z50" i="53" s="1"/>
  <c r="I50" i="53" s="1"/>
  <c r="H59" i="53"/>
  <c r="P103" i="97"/>
  <c r="I43" i="53"/>
  <c r="AH43" i="53"/>
  <c r="O43" i="53" s="1"/>
  <c r="BS75" i="55"/>
  <c r="BS8" i="55"/>
  <c r="P71" i="97"/>
  <c r="P29" i="98"/>
  <c r="P102" i="98"/>
  <c r="P26" i="98"/>
  <c r="P30" i="98"/>
  <c r="P4" i="98"/>
  <c r="P67" i="98"/>
  <c r="I46" i="53"/>
  <c r="AH46" i="53"/>
  <c r="O46" i="53" s="1"/>
  <c r="BS72" i="108"/>
  <c r="AE23" i="52"/>
  <c r="AE28" i="52"/>
  <c r="AF16" i="52" s="1"/>
  <c r="AE27" i="52"/>
  <c r="AF13" i="52" s="1"/>
  <c r="AE25" i="52"/>
  <c r="AE26" i="52"/>
  <c r="AF10" i="52" s="1"/>
  <c r="BW48" i="57"/>
  <c r="BW17" i="57"/>
  <c r="BW78" i="57"/>
  <c r="CN5" i="16"/>
  <c r="BS9" i="108"/>
  <c r="P7" i="111"/>
  <c r="BS37" i="52"/>
  <c r="BS68" i="52"/>
  <c r="P74" i="97"/>
  <c r="BS76" i="57"/>
  <c r="P43" i="97"/>
  <c r="BS9" i="53"/>
  <c r="BS16" i="58"/>
  <c r="P104" i="97"/>
  <c r="BS16" i="55"/>
  <c r="BW42" i="53"/>
  <c r="BW8" i="53"/>
  <c r="BW67" i="108"/>
  <c r="BW69" i="108"/>
  <c r="BW77" i="55"/>
  <c r="BW41" i="55"/>
  <c r="P65" i="97"/>
  <c r="P57" i="97"/>
  <c r="P80" i="97"/>
  <c r="P94" i="97"/>
  <c r="P2" i="97"/>
  <c r="BS38" i="57"/>
  <c r="BS48" i="57"/>
  <c r="BS45" i="57"/>
  <c r="BS11" i="53"/>
  <c r="BS16" i="53"/>
  <c r="BW10" i="58"/>
  <c r="BW67" i="58"/>
  <c r="BS74" i="58"/>
  <c r="BS37" i="58"/>
  <c r="P27" i="111"/>
  <c r="P97" i="111"/>
  <c r="P66" i="111"/>
  <c r="P33" i="111"/>
  <c r="P80" i="111"/>
  <c r="P67" i="111"/>
  <c r="BS71" i="108"/>
  <c r="I37" i="53"/>
  <c r="AH37" i="53"/>
  <c r="P82" i="97"/>
  <c r="BS77" i="55"/>
  <c r="BS46" i="55"/>
  <c r="P28" i="98"/>
  <c r="P62" i="98"/>
  <c r="P27" i="98"/>
  <c r="P43" i="98"/>
  <c r="P19" i="98"/>
  <c r="P84" i="98"/>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P67" i="97"/>
  <c r="BS74" i="53"/>
  <c r="BW43" i="53"/>
  <c r="BW68" i="53"/>
  <c r="BW75" i="53"/>
  <c r="BW73" i="108"/>
  <c r="BW75" i="108"/>
  <c r="BW15" i="55"/>
  <c r="BW76" i="55"/>
  <c r="P68" i="97"/>
  <c r="P99" i="97"/>
  <c r="P96" i="97"/>
  <c r="P91" i="97"/>
  <c r="DK9" i="16"/>
  <c r="Z64" i="108"/>
  <c r="I62" i="107"/>
  <c r="BS77" i="57"/>
  <c r="BS44" i="57"/>
  <c r="BS15" i="53"/>
  <c r="BS8" i="53"/>
  <c r="BW44" i="58"/>
  <c r="BW47" i="58"/>
  <c r="BS46" i="58"/>
  <c r="BS68" i="58"/>
  <c r="P22" i="111"/>
  <c r="P87" i="111"/>
  <c r="P57" i="111"/>
  <c r="P30" i="111"/>
  <c r="P99" i="111"/>
  <c r="P88" i="111"/>
  <c r="M40" i="58"/>
  <c r="AH40" i="58"/>
  <c r="O40" i="58" s="1"/>
  <c r="P8" i="97"/>
  <c r="BS12" i="55"/>
  <c r="BS76" i="55"/>
  <c r="P32" i="98"/>
  <c r="P36" i="98"/>
  <c r="P94" i="98"/>
  <c r="P71" i="98"/>
  <c r="P20" i="98"/>
  <c r="P56" i="98"/>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P52" i="97"/>
  <c r="P54" i="97"/>
  <c r="P93" i="97"/>
  <c r="P36" i="97"/>
  <c r="I73" i="108"/>
  <c r="BS74" i="57"/>
  <c r="BS13" i="57"/>
  <c r="BS37" i="53"/>
  <c r="BS45" i="53"/>
  <c r="I33" i="84"/>
  <c r="Z34" i="55"/>
  <c r="BC9" i="16"/>
  <c r="BW37" i="58"/>
  <c r="BW76" i="58"/>
  <c r="BS38" i="58"/>
  <c r="BS42" i="58"/>
  <c r="P75" i="111"/>
  <c r="P98" i="111"/>
  <c r="P79" i="111"/>
  <c r="P40" i="111"/>
  <c r="P2" i="111"/>
  <c r="P54" i="111"/>
  <c r="BW45" i="108"/>
  <c r="P90" i="97"/>
  <c r="BS43" i="55"/>
  <c r="BS69" i="55"/>
  <c r="BS13" i="108"/>
  <c r="P48" i="98"/>
  <c r="P89" i="98"/>
  <c r="P104" i="98"/>
  <c r="P72" i="98"/>
  <c r="P2" i="98"/>
  <c r="P82" i="98"/>
  <c r="P18" i="111"/>
  <c r="BS39" i="52"/>
  <c r="BW72" i="57"/>
  <c r="BW40" i="57"/>
  <c r="BW68" i="57"/>
  <c r="BS78" i="108"/>
  <c r="P64" i="97"/>
  <c r="BS48" i="52"/>
  <c r="BS14" i="52"/>
  <c r="BS68" i="57"/>
  <c r="BW39" i="58"/>
  <c r="BS41" i="57"/>
  <c r="P89" i="111"/>
  <c r="P17" i="111"/>
  <c r="BW46" i="53"/>
  <c r="BW18" i="53"/>
  <c r="BW70" i="53"/>
  <c r="BW77" i="53"/>
  <c r="D59" i="58"/>
  <c r="V49" i="58"/>
  <c r="V50" i="58" s="1"/>
  <c r="E50" i="58" s="1"/>
  <c r="BW47" i="108"/>
  <c r="BW46" i="108"/>
  <c r="BW42" i="55"/>
  <c r="BW75" i="55"/>
  <c r="P32" i="97"/>
  <c r="P21" i="97"/>
  <c r="P95" i="97"/>
  <c r="P35" i="97"/>
  <c r="DL7" i="16"/>
  <c r="DL16" i="16"/>
  <c r="BS97" i="57"/>
  <c r="BS47" i="57"/>
  <c r="AJ16" i="16"/>
  <c r="AJ5" i="16"/>
  <c r="AK12" i="16"/>
  <c r="BS48" i="53"/>
  <c r="BS38" i="53"/>
  <c r="BS72" i="53"/>
  <c r="BW71" i="58"/>
  <c r="BS12" i="58"/>
  <c r="BS73" i="58"/>
  <c r="BS70" i="58"/>
  <c r="P53" i="111"/>
  <c r="P84" i="111"/>
  <c r="P101" i="111"/>
  <c r="P55" i="111"/>
  <c r="P43" i="111"/>
  <c r="P64" i="111"/>
  <c r="BS68" i="108"/>
  <c r="BS45" i="55"/>
  <c r="BS70" i="55"/>
  <c r="P5" i="97"/>
  <c r="P52" i="98"/>
  <c r="P38" i="98"/>
  <c r="P31" i="98"/>
  <c r="P83" i="98"/>
  <c r="P98" i="98"/>
  <c r="P11" i="98"/>
  <c r="BS47" i="108"/>
  <c r="Z80" i="57"/>
  <c r="I80" i="57" s="1"/>
  <c r="BW70" i="57"/>
  <c r="BW38" i="57"/>
  <c r="BW47" i="57"/>
  <c r="G37" i="52"/>
  <c r="BS42" i="108"/>
  <c r="BS75" i="108"/>
  <c r="BS16" i="52"/>
  <c r="BS10" i="52"/>
  <c r="P61" i="97"/>
  <c r="BS44" i="53"/>
  <c r="BW14" i="108"/>
  <c r="BS9" i="58"/>
  <c r="BW46" i="55"/>
  <c r="BW16" i="53"/>
  <c r="BW45" i="53"/>
  <c r="BW74" i="53"/>
  <c r="E43" i="58"/>
  <c r="AH43" i="58"/>
  <c r="O43" i="58" s="1"/>
  <c r="BW18" i="108"/>
  <c r="BW77" i="108"/>
  <c r="BW17" i="55"/>
  <c r="BW43" i="55"/>
  <c r="P60" i="97"/>
  <c r="P47" i="97"/>
  <c r="P41" i="97"/>
  <c r="P84" i="97"/>
  <c r="BS45" i="108"/>
  <c r="BS107" i="57"/>
  <c r="BS73" i="57"/>
  <c r="I4" i="45"/>
  <c r="Z4" i="53"/>
  <c r="AI9" i="16"/>
  <c r="BS78" i="53"/>
  <c r="BS73" i="53"/>
  <c r="BW48" i="58"/>
  <c r="BW38" i="58"/>
  <c r="BS47" i="58"/>
  <c r="BS72" i="58"/>
  <c r="BS8" i="58"/>
  <c r="P65" i="111"/>
  <c r="P23" i="111"/>
  <c r="P41" i="111"/>
  <c r="P28" i="111"/>
  <c r="P42" i="111"/>
  <c r="P14" i="111"/>
  <c r="BS46" i="108"/>
  <c r="BS9" i="55"/>
  <c r="BS15" i="55"/>
  <c r="P42" i="98"/>
  <c r="P41" i="98"/>
  <c r="P78" i="98"/>
  <c r="P86" i="98"/>
  <c r="P6" i="98"/>
  <c r="P45" i="98"/>
  <c r="P9" i="111"/>
  <c r="BW13" i="57"/>
  <c r="BW11" i="57"/>
  <c r="BS67" i="108"/>
  <c r="P9" i="97"/>
  <c r="BS45" i="52"/>
  <c r="BS70" i="52"/>
  <c r="BS39" i="108"/>
  <c r="P72" i="97"/>
  <c r="BS11" i="57"/>
  <c r="P92" i="111"/>
  <c r="BW11" i="55"/>
  <c r="BS9" i="57"/>
  <c r="P28" i="97"/>
  <c r="BS14" i="57"/>
  <c r="AB10" i="53"/>
  <c r="J26" i="53"/>
  <c r="BW38" i="53"/>
  <c r="BW48" i="53"/>
  <c r="BW100" i="57"/>
  <c r="BW43" i="108"/>
  <c r="BW74" i="108"/>
  <c r="BW12" i="55"/>
  <c r="BW16" i="55"/>
  <c r="P63" i="97"/>
  <c r="P46" i="97"/>
  <c r="P70" i="97"/>
  <c r="P55" i="97"/>
  <c r="BS76" i="53"/>
  <c r="BS70" i="57"/>
  <c r="BS71" i="57"/>
  <c r="BS17" i="53"/>
  <c r="L59" i="58"/>
  <c r="AD49" i="58"/>
  <c r="M49" i="58" s="1"/>
  <c r="BW78" i="58"/>
  <c r="BW77" i="58"/>
  <c r="BS15" i="58"/>
  <c r="BS69" i="58"/>
  <c r="BS77" i="58"/>
  <c r="P11" i="111"/>
  <c r="P24" i="111"/>
  <c r="P81" i="111"/>
  <c r="P25" i="111"/>
  <c r="P78" i="111"/>
  <c r="P34" i="111"/>
  <c r="P44" i="97"/>
  <c r="BS76" i="108"/>
  <c r="BS78" i="55"/>
  <c r="BS48" i="55"/>
  <c r="P73" i="98"/>
  <c r="P97" i="98"/>
  <c r="P63" i="98"/>
  <c r="P64" i="98"/>
  <c r="P99" i="98"/>
  <c r="P93" i="98"/>
  <c r="P10" i="98"/>
  <c r="BW104" i="57"/>
  <c r="BW102" i="57"/>
  <c r="P98" i="97"/>
  <c r="BS48" i="108"/>
  <c r="BS69" i="108"/>
  <c r="P7" i="97"/>
  <c r="BS38" i="52"/>
  <c r="BS13" i="52"/>
  <c r="BS47" i="53"/>
  <c r="BS71" i="53"/>
  <c r="P14" i="97"/>
  <c r="P49" i="97"/>
  <c r="BW43" i="58"/>
  <c r="BW7" i="53"/>
  <c r="BW40" i="53"/>
  <c r="BW14" i="53"/>
  <c r="P26" i="97"/>
  <c r="BW40" i="108"/>
  <c r="BW38" i="108"/>
  <c r="BW16" i="108"/>
  <c r="BW48" i="55"/>
  <c r="BW70" i="55"/>
  <c r="P33" i="97"/>
  <c r="P89" i="97"/>
  <c r="P40" i="97"/>
  <c r="P51" i="97"/>
  <c r="BS18" i="57"/>
  <c r="BS102" i="57"/>
  <c r="BS104" i="57"/>
  <c r="BS13" i="53"/>
  <c r="M37" i="58"/>
  <c r="AH37" i="58"/>
  <c r="BW15" i="58"/>
  <c r="BW7" i="58"/>
  <c r="BS18" i="58"/>
  <c r="BS13" i="58"/>
  <c r="P100" i="111"/>
  <c r="P49" i="111"/>
  <c r="P82" i="111"/>
  <c r="P86" i="111"/>
  <c r="P58" i="111"/>
  <c r="BS41" i="108"/>
  <c r="P8" i="111"/>
  <c r="BS10" i="55"/>
  <c r="BS73" i="55"/>
  <c r="BS11" i="108"/>
  <c r="P49" i="98"/>
  <c r="P40" i="98"/>
  <c r="P75" i="98"/>
  <c r="P35" i="98"/>
  <c r="P18" i="98"/>
  <c r="P87" i="98"/>
  <c r="BW72" i="58"/>
  <c r="P75" i="97"/>
  <c r="BW12" i="57"/>
  <c r="BW99" i="57"/>
  <c r="P25" i="97"/>
  <c r="AD16" i="52"/>
  <c r="L28" i="52"/>
  <c r="AB13" i="58"/>
  <c r="J27" i="58"/>
  <c r="BS12" i="108"/>
  <c r="BS40" i="52"/>
  <c r="BS74" i="52"/>
  <c r="P92" i="97"/>
  <c r="E46" i="58"/>
  <c r="AH46" i="58"/>
  <c r="O46" i="58" s="1"/>
  <c r="P27" i="97"/>
  <c r="BW72" i="53"/>
  <c r="BW14" i="55"/>
  <c r="P85" i="97"/>
  <c r="P81" i="97"/>
  <c r="AB7" i="53"/>
  <c r="J25" i="53"/>
  <c r="AA29" i="53"/>
  <c r="BW11" i="53"/>
  <c r="BW9" i="53"/>
  <c r="BW44" i="57"/>
  <c r="BW9" i="108"/>
  <c r="BW71" i="108"/>
  <c r="BW69" i="55"/>
  <c r="BW47" i="55"/>
  <c r="P22" i="97"/>
  <c r="P83" i="97"/>
  <c r="P45" i="97"/>
  <c r="P42" i="97"/>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P6" i="97"/>
  <c r="BS18" i="55"/>
  <c r="BS7" i="55"/>
  <c r="BS13" i="55"/>
  <c r="P92" i="98"/>
  <c r="P80" i="98"/>
  <c r="P74" i="98"/>
  <c r="P61" i="98"/>
  <c r="P13" i="98"/>
  <c r="P59" i="98"/>
  <c r="BS8" i="108"/>
  <c r="G46" i="52"/>
  <c r="P102" i="97"/>
  <c r="BW67" i="57"/>
  <c r="BW103" i="57"/>
  <c r="BW97" i="57"/>
  <c r="AD7" i="52"/>
  <c r="AC29" i="52"/>
  <c r="L25" i="52"/>
  <c r="J28" i="58"/>
  <c r="AB16" i="58"/>
  <c r="P100" i="97"/>
  <c r="P8" i="98"/>
  <c r="BS69" i="52"/>
  <c r="BS67" i="52"/>
  <c r="BS43" i="57"/>
  <c r="BS39" i="57"/>
  <c r="BW76" i="53"/>
  <c r="P29" i="97"/>
  <c r="P32" i="111"/>
  <c r="BS67" i="55"/>
  <c r="BW40" i="55"/>
  <c r="P13" i="111"/>
  <c r="AB16" i="53"/>
  <c r="J28" i="53"/>
  <c r="BW44" i="53"/>
  <c r="BW47" i="53"/>
  <c r="BS14" i="108"/>
  <c r="BW42" i="108"/>
  <c r="BW39" i="108"/>
  <c r="BW68" i="55"/>
  <c r="BW13" i="55"/>
  <c r="P23" i="97"/>
  <c r="P37" i="97"/>
  <c r="P50" i="97"/>
  <c r="P58" i="97"/>
  <c r="BS74" i="108"/>
  <c r="N22" i="45"/>
  <c r="N23" i="45" s="1"/>
  <c r="AE22" i="53"/>
  <c r="BS67" i="57"/>
  <c r="BS40" i="57"/>
  <c r="BS10" i="57"/>
  <c r="BS40" i="53"/>
  <c r="BS10" i="53"/>
  <c r="BW14" i="58"/>
  <c r="BW18" i="58"/>
  <c r="BS76" i="58"/>
  <c r="BS48" i="58"/>
  <c r="P16" i="111"/>
  <c r="P52" i="111"/>
  <c r="P56" i="111"/>
  <c r="P63" i="111"/>
  <c r="P26" i="111"/>
  <c r="P95" i="111"/>
  <c r="P12" i="97"/>
  <c r="P3" i="111"/>
  <c r="BS44" i="55"/>
  <c r="I79" i="58"/>
  <c r="P51" i="98"/>
  <c r="P39" i="98"/>
  <c r="P3" i="98"/>
  <c r="P24" i="98"/>
  <c r="P47" i="98"/>
  <c r="P90" i="98"/>
  <c r="BS38" i="55"/>
  <c r="BW16" i="57"/>
  <c r="BW98" i="57"/>
  <c r="BW69" i="57"/>
  <c r="L27" i="52"/>
  <c r="AD13" i="52"/>
  <c r="AB10" i="58"/>
  <c r="J26" i="58"/>
  <c r="BS72" i="57"/>
  <c r="P4" i="97"/>
  <c r="BS12" i="52"/>
  <c r="BS73" i="52"/>
  <c r="P39" i="97"/>
  <c r="BS68" i="53"/>
  <c r="P62" i="111"/>
  <c r="BW78" i="53"/>
  <c r="BW67" i="53"/>
  <c r="BW9" i="55"/>
  <c r="P3" i="97"/>
  <c r="BS37" i="55"/>
  <c r="P101" i="97"/>
  <c r="BS75" i="57"/>
  <c r="AB13" i="53"/>
  <c r="J27" i="53"/>
  <c r="BW41" i="53"/>
  <c r="BW17" i="53"/>
  <c r="BS15" i="108"/>
  <c r="BW15" i="108"/>
  <c r="BW72" i="108"/>
  <c r="BW78" i="55"/>
  <c r="BW67" i="55"/>
  <c r="BW37" i="55"/>
  <c r="P30" i="97"/>
  <c r="P48" i="97"/>
  <c r="P88" i="97"/>
  <c r="P79" i="97"/>
  <c r="BS18" i="108"/>
  <c r="BS105" i="57"/>
  <c r="BS106" i="57"/>
  <c r="BS42" i="57"/>
  <c r="BS42" i="53"/>
  <c r="BS69" i="53"/>
  <c r="DR13" i="16"/>
  <c r="BW13" i="58"/>
  <c r="BW11" i="58"/>
  <c r="BS67" i="58"/>
  <c r="BS75" i="58"/>
  <c r="P60" i="111"/>
  <c r="P45" i="111"/>
  <c r="P73" i="111"/>
  <c r="P77" i="111"/>
  <c r="P36" i="111"/>
  <c r="K67" i="108"/>
  <c r="BW72" i="55"/>
  <c r="BS71" i="55"/>
  <c r="P10" i="111"/>
  <c r="P81" i="98"/>
  <c r="P88" i="98"/>
  <c r="P53" i="98"/>
  <c r="P21" i="98"/>
  <c r="P69" i="98"/>
  <c r="P57" i="98"/>
  <c r="BW73" i="57"/>
  <c r="BW41" i="57"/>
  <c r="BW39" i="57"/>
  <c r="BS17" i="108"/>
  <c r="AD10" i="52"/>
  <c r="L26" i="52"/>
  <c r="J25" i="58"/>
  <c r="AB7" i="58"/>
  <c r="AA29" i="58"/>
  <c r="BS78" i="52"/>
  <c r="BS47" i="52"/>
  <c r="P59" i="97"/>
  <c r="P76" i="97"/>
  <c r="BS78" i="57"/>
  <c r="P93" i="111"/>
  <c r="BW7" i="108"/>
  <c r="P66" i="97"/>
  <c r="P17" i="97"/>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O77" i="100" s="1"/>
  <c r="N96" i="100"/>
  <c r="N27" i="100"/>
  <c r="O27" i="100" s="1"/>
  <c r="N88" i="100"/>
  <c r="O88" i="100" s="1"/>
  <c r="N26" i="100"/>
  <c r="N78" i="100"/>
  <c r="N62" i="100"/>
  <c r="N74" i="100"/>
  <c r="O74" i="100" s="1"/>
  <c r="N84" i="100"/>
  <c r="N57" i="100"/>
  <c r="N87" i="100"/>
  <c r="N76" i="100"/>
  <c r="N71" i="100"/>
  <c r="N68" i="100"/>
  <c r="O68" i="100" s="1"/>
  <c r="N69" i="100"/>
  <c r="N99" i="100"/>
  <c r="O99" i="100" s="1"/>
  <c r="N38" i="100"/>
  <c r="N40" i="100"/>
  <c r="N29" i="100"/>
  <c r="N21" i="100"/>
  <c r="O21" i="100" s="1"/>
  <c r="N72" i="100"/>
  <c r="N22" i="100"/>
  <c r="N60" i="100"/>
  <c r="O60" i="100" s="1"/>
  <c r="N55" i="100"/>
  <c r="N104" i="100"/>
  <c r="N85" i="100"/>
  <c r="O85" i="100" s="1"/>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P86" i="97"/>
  <c r="P38" i="97"/>
  <c r="P77" i="97"/>
  <c r="P24" i="97"/>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P79" i="98"/>
  <c r="P101" i="98"/>
  <c r="P37" i="98"/>
  <c r="P66" i="98"/>
  <c r="P46" i="98"/>
  <c r="P91" i="98"/>
  <c r="P5" i="98"/>
  <c r="P87" i="97"/>
  <c r="BS10" i="108"/>
  <c r="BW8" i="57"/>
  <c r="BW107" i="57"/>
  <c r="BW14" i="57"/>
  <c r="P10" i="97"/>
  <c r="BS42" i="55"/>
  <c r="BS7" i="52"/>
  <c r="BS76" i="52"/>
  <c r="P5" i="111"/>
  <c r="N80" i="107" l="1"/>
  <c r="N81" i="107" s="1"/>
  <c r="N80" i="86"/>
  <c r="N81" i="86" s="1"/>
  <c r="AE82" i="58"/>
  <c r="CN7" i="16"/>
  <c r="AC88" i="58"/>
  <c r="AC87" i="58"/>
  <c r="AC83" i="58"/>
  <c r="L83" i="58" s="1"/>
  <c r="L82" i="58"/>
  <c r="AC85" i="58"/>
  <c r="AC86" i="58"/>
  <c r="AB73" i="58"/>
  <c r="K73" i="58" s="1"/>
  <c r="J87" i="58"/>
  <c r="J88" i="58"/>
  <c r="AB76" i="58"/>
  <c r="K76" i="58" s="1"/>
  <c r="AB67" i="58"/>
  <c r="K67" i="58" s="1"/>
  <c r="AA89" i="58"/>
  <c r="J85" i="58"/>
  <c r="AB70" i="58"/>
  <c r="K70" i="58" s="1"/>
  <c r="J86" i="58"/>
  <c r="Z20" i="108"/>
  <c r="I20" i="108" s="1"/>
  <c r="AB20" i="108"/>
  <c r="K20" i="108" s="1"/>
  <c r="V20" i="108"/>
  <c r="E20" i="108" s="1"/>
  <c r="G49" i="58"/>
  <c r="X50" i="58"/>
  <c r="G50" i="58" s="1"/>
  <c r="F89" i="55"/>
  <c r="X80" i="55"/>
  <c r="G80" i="55" s="1"/>
  <c r="V80" i="53"/>
  <c r="E80" i="53" s="1"/>
  <c r="P28" i="96"/>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Y6" i="16"/>
  <c r="Z67" i="53"/>
  <c r="H85" i="53"/>
  <c r="J58" i="57"/>
  <c r="AB46" i="57"/>
  <c r="K46" i="57" s="1"/>
  <c r="L51" i="41"/>
  <c r="L52" i="41" s="1"/>
  <c r="AC52" i="52"/>
  <c r="H6" i="16"/>
  <c r="G9" i="16"/>
  <c r="J52" i="108"/>
  <c r="AA57" i="108"/>
  <c r="AA58" i="108"/>
  <c r="AA56" i="108"/>
  <c r="AA55" i="108"/>
  <c r="AA53" i="108"/>
  <c r="J53" i="108" s="1"/>
  <c r="F89" i="53"/>
  <c r="X79" i="53"/>
  <c r="DC9" i="16"/>
  <c r="AC52" i="108"/>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X80" i="58"/>
  <c r="G80" i="58" s="1"/>
  <c r="AB50" i="58"/>
  <c r="K50" i="58" s="1"/>
  <c r="AD50" i="58"/>
  <c r="M50" i="58" s="1"/>
  <c r="V20" i="52"/>
  <c r="E20" i="52" s="1"/>
  <c r="AB20" i="52"/>
  <c r="K20" i="52" s="1"/>
  <c r="O67" i="52"/>
  <c r="AH80" i="52"/>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B5" i="98"/>
  <c r="F5" i="98"/>
  <c r="A6" i="98"/>
  <c r="E5" i="98"/>
  <c r="G5" i="9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E5" i="97"/>
  <c r="A6" i="97"/>
  <c r="B5" i="97"/>
  <c r="G5" i="97"/>
  <c r="F5" i="97"/>
  <c r="BJ13" i="16"/>
  <c r="BE16" i="16"/>
  <c r="AD7" i="58"/>
  <c r="L25" i="58"/>
  <c r="AC29" i="58"/>
  <c r="P87" i="88"/>
  <c r="N15" i="63"/>
  <c r="C15" i="63" s="1"/>
  <c r="H15" i="63" s="1"/>
  <c r="C14" i="63"/>
  <c r="H14" i="63" s="1"/>
  <c r="N16" i="63"/>
  <c r="C16" i="63" s="1"/>
  <c r="H16" i="63" s="1"/>
  <c r="N14" i="63"/>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AD70" i="58" l="1"/>
  <c r="M70" i="58" s="1"/>
  <c r="L86" i="58"/>
  <c r="AD67" i="58"/>
  <c r="L85" i="58"/>
  <c r="AC89" i="58"/>
  <c r="L87" i="58"/>
  <c r="AD73" i="58"/>
  <c r="M73" i="58" s="1"/>
  <c r="L88" i="58"/>
  <c r="AD76" i="58"/>
  <c r="M76" i="58" s="1"/>
  <c r="AB79" i="58"/>
  <c r="J89" i="58"/>
  <c r="AE83" i="58"/>
  <c r="AE87" i="58"/>
  <c r="AF73" i="58" s="1"/>
  <c r="AE88" i="58"/>
  <c r="AF76" i="58" s="1"/>
  <c r="AE85" i="58"/>
  <c r="AE86" i="58"/>
  <c r="AF70" i="58" s="1"/>
  <c r="AH70" i="58" s="1"/>
  <c r="O70" i="58" s="1"/>
  <c r="I49" i="57"/>
  <c r="O5" i="101"/>
  <c r="O4" i="101"/>
  <c r="O10" i="101"/>
  <c r="Z80" i="55"/>
  <c r="I80" i="55" s="1"/>
  <c r="F5" i="96"/>
  <c r="E5" i="96"/>
  <c r="G5" i="96"/>
  <c r="B5" i="96"/>
  <c r="D5" i="96" s="1"/>
  <c r="A6" i="96"/>
  <c r="E6"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Z50" i="108" s="1"/>
  <c r="I50" i="108" s="1"/>
  <c r="AE52" i="52"/>
  <c r="N51" i="41"/>
  <c r="N52" i="41" s="1"/>
  <c r="H9" i="16"/>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CD16" i="16" s="1"/>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A7" i="98"/>
  <c r="G6" i="98"/>
  <c r="F6" i="98"/>
  <c r="E6" i="98"/>
  <c r="B6" i="98"/>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D5" i="97"/>
  <c r="C5" i="97"/>
  <c r="M37" i="57"/>
  <c r="C5" i="98"/>
  <c r="D5" i="98"/>
  <c r="P31" i="100"/>
  <c r="L59" i="57"/>
  <c r="AD49" i="57"/>
  <c r="AD50" i="57" s="1"/>
  <c r="M50" i="57" s="1"/>
  <c r="P23" i="100"/>
  <c r="A7" i="95"/>
  <c r="B6" i="97"/>
  <c r="A7" i="97"/>
  <c r="E6" i="97"/>
  <c r="F6" i="97"/>
  <c r="G6" i="97"/>
  <c r="B5" i="88"/>
  <c r="A6" i="88"/>
  <c r="E5" i="88"/>
  <c r="F5" i="88"/>
  <c r="G5" i="88"/>
  <c r="P47" i="100"/>
  <c r="P32" i="100"/>
  <c r="K19" i="53"/>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K79" i="58" l="1"/>
  <c r="AB80" i="58"/>
  <c r="K80" i="58" s="1"/>
  <c r="L89" i="58"/>
  <c r="AD79" i="58"/>
  <c r="M79" i="58" s="1"/>
  <c r="AF67" i="58"/>
  <c r="AE89" i="58"/>
  <c r="AF79" i="58" s="1"/>
  <c r="AH79" i="58" s="1"/>
  <c r="O79" i="58" s="1"/>
  <c r="M67" i="58"/>
  <c r="AD80" i="58"/>
  <c r="M80" i="58" s="1"/>
  <c r="AH76" i="58"/>
  <c r="O76" i="58" s="1"/>
  <c r="AH73" i="58"/>
  <c r="O73" i="58" s="1"/>
  <c r="O5" i="102"/>
  <c r="O4" i="102"/>
  <c r="O10" i="102"/>
  <c r="F6" i="96"/>
  <c r="G6" i="96"/>
  <c r="C5" i="96"/>
  <c r="B6" i="96"/>
  <c r="D6" i="96" s="1"/>
  <c r="A7" i="96"/>
  <c r="E7" i="96" s="1"/>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A8" i="97"/>
  <c r="E7" i="97"/>
  <c r="B7" i="97"/>
  <c r="G7" i="97"/>
  <c r="F7" i="97"/>
  <c r="G7" i="95"/>
  <c r="A8" i="95"/>
  <c r="B7" i="95"/>
  <c r="F7" i="95"/>
  <c r="E7" i="95"/>
  <c r="P30" i="101"/>
  <c r="P66" i="101"/>
  <c r="P10" i="101"/>
  <c r="P98" i="101"/>
  <c r="P82" i="101"/>
  <c r="AL9" i="16"/>
  <c r="O4" i="45"/>
  <c r="AF4" i="53"/>
  <c r="P8" i="101"/>
  <c r="P92" i="101"/>
  <c r="P5" i="101"/>
  <c r="P16" i="101"/>
  <c r="P61" i="101"/>
  <c r="AF80" i="58" l="1"/>
  <c r="AH67" i="58"/>
  <c r="AH43" i="52"/>
  <c r="O43" i="52" s="1"/>
  <c r="O5" i="103"/>
  <c r="O4" i="103"/>
  <c r="O10" i="103"/>
  <c r="A8" i="96"/>
  <c r="G8" i="96" s="1"/>
  <c r="F7" i="96"/>
  <c r="C6" i="96"/>
  <c r="G7" i="96"/>
  <c r="B7" i="96"/>
  <c r="C7" i="96" s="1"/>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B8" i="98"/>
  <c r="E8" i="98"/>
  <c r="A9" i="98"/>
  <c r="G8" i="98"/>
  <c r="F8" i="98"/>
  <c r="AH50" i="57"/>
  <c r="P11" i="102"/>
  <c r="P16" i="102"/>
  <c r="C7" i="97"/>
  <c r="D7" i="97"/>
  <c r="P26" i="102"/>
  <c r="P104" i="102"/>
  <c r="C7" i="98"/>
  <c r="D7" i="98"/>
  <c r="O20" i="52"/>
  <c r="BA20" i="52"/>
  <c r="BN20" i="52" s="1"/>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P59" i="102"/>
  <c r="A9" i="97"/>
  <c r="G8" i="97"/>
  <c r="E8" i="97"/>
  <c r="B8" i="97"/>
  <c r="F8" i="97"/>
  <c r="O7" i="53"/>
  <c r="AH20" i="53"/>
  <c r="P84" i="102"/>
  <c r="P4" i="102"/>
  <c r="A8" i="88"/>
  <c r="E7" i="88"/>
  <c r="F7" i="88"/>
  <c r="B7" i="88"/>
  <c r="G7" i="8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O67" i="58" l="1"/>
  <c r="AH80" i="58"/>
  <c r="O2" i="112"/>
  <c r="O5" i="112"/>
  <c r="O4" i="112"/>
  <c r="O10" i="112"/>
  <c r="B8" i="96"/>
  <c r="D8" i="96" s="1"/>
  <c r="D7" i="96"/>
  <c r="E8" i="96"/>
  <c r="A9" i="96"/>
  <c r="B9" i="96" s="1"/>
  <c r="F8" i="96"/>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O20" i="58"/>
  <c r="BA20" i="58"/>
  <c r="BN20" i="58" s="1"/>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BA80" i="58" l="1"/>
  <c r="BN80" i="58" s="1"/>
  <c r="O80" i="58"/>
  <c r="C8" i="96"/>
  <c r="A10" i="96"/>
  <c r="B10" i="96" s="1"/>
  <c r="E9" i="96"/>
  <c r="F9" i="96"/>
  <c r="G9" i="96"/>
  <c r="O20" i="55"/>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BO50" i="58"/>
  <c r="BO80" i="58"/>
  <c r="C9" i="95"/>
  <c r="D9" i="95"/>
  <c r="B7" i="102"/>
  <c r="E7" i="102"/>
  <c r="F7" i="102"/>
  <c r="A8" i="102"/>
  <c r="G7" i="102"/>
  <c r="G9" i="88"/>
  <c r="B9" i="88"/>
  <c r="E9" i="88"/>
  <c r="A10" i="88"/>
  <c r="F9" i="88"/>
  <c r="C9" i="98"/>
  <c r="D9" i="98"/>
  <c r="C9" i="96"/>
  <c r="D9" i="96"/>
  <c r="E10" i="96" l="1"/>
  <c r="F10" i="96"/>
  <c r="A11" i="96"/>
  <c r="F11" i="96" s="1"/>
  <c r="G10" i="96"/>
  <c r="O80" i="53"/>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C10" i="96"/>
  <c r="D10" i="96"/>
  <c r="F7" i="68"/>
  <c r="D8" i="68"/>
  <c r="J9" i="68"/>
  <c r="C9" i="68"/>
  <c r="G7" i="68"/>
  <c r="C7" i="68"/>
  <c r="G9" i="68"/>
  <c r="E7" i="68"/>
  <c r="E8" i="68"/>
  <c r="I8" i="68"/>
  <c r="G8" i="68"/>
  <c r="N8" i="68"/>
  <c r="H7" i="68"/>
  <c r="H8" i="68"/>
  <c r="N7" i="68"/>
  <c r="H9" i="68"/>
  <c r="I9" i="68"/>
  <c r="C8" i="68"/>
  <c r="I7" i="68"/>
  <c r="D9" i="68"/>
  <c r="K8" i="68"/>
  <c r="K7" i="68"/>
  <c r="L8" i="68"/>
  <c r="B8" i="68"/>
  <c r="L7" i="68"/>
  <c r="B9" i="68"/>
  <c r="J8" i="68"/>
  <c r="M7" i="68"/>
  <c r="K9" i="68"/>
  <c r="M8" i="68"/>
  <c r="L9" i="68"/>
  <c r="M9" i="68"/>
  <c r="N9" i="68"/>
  <c r="D7" i="68"/>
  <c r="J7" i="68"/>
  <c r="F9" i="68"/>
  <c r="B7" i="68"/>
  <c r="F8" i="68"/>
  <c r="E9" i="68"/>
  <c r="G11" i="97"/>
  <c r="A12" i="97"/>
  <c r="F11" i="97"/>
  <c r="B11" i="97"/>
  <c r="E11" i="97"/>
  <c r="A11" i="88"/>
  <c r="E10" i="88"/>
  <c r="B10" i="88"/>
  <c r="G10" i="88"/>
  <c r="F10" i="88"/>
  <c r="C9" i="88"/>
  <c r="D9" i="88"/>
  <c r="C9" i="100"/>
  <c r="D9" i="100"/>
  <c r="C10" i="111"/>
  <c r="D10" i="111"/>
  <c r="A10" i="101"/>
  <c r="F9" i="101"/>
  <c r="G9" i="101"/>
  <c r="B9" i="101"/>
  <c r="E9" i="101"/>
  <c r="D10" i="97"/>
  <c r="C10" i="97"/>
  <c r="B11" i="111"/>
  <c r="F11" i="111"/>
  <c r="G11" i="111"/>
  <c r="A12" i="111"/>
  <c r="E11" i="111"/>
  <c r="E8" i="102"/>
  <c r="A9" i="102"/>
  <c r="F8" i="102"/>
  <c r="G8" i="102"/>
  <c r="B8" i="102"/>
  <c r="D10" i="95"/>
  <c r="C10" i="95"/>
  <c r="D7" i="66" l="1"/>
  <c r="M9" i="66"/>
  <c r="J8" i="66"/>
  <c r="L9" i="66"/>
  <c r="B7" i="66"/>
  <c r="N8" i="66"/>
  <c r="B11" i="96"/>
  <c r="C11" i="96" s="1"/>
  <c r="E11" i="96"/>
  <c r="A12" i="96"/>
  <c r="E12" i="96" s="1"/>
  <c r="G11" i="96"/>
  <c r="D9" i="66"/>
  <c r="G9" i="66"/>
  <c r="J7" i="66"/>
  <c r="I8" i="66"/>
  <c r="J9" i="66"/>
  <c r="K8" i="66"/>
  <c r="I7" i="66"/>
  <c r="H9" i="66"/>
  <c r="B9" i="66"/>
  <c r="F9" i="66"/>
  <c r="M8" i="66"/>
  <c r="K9" i="66"/>
  <c r="N7" i="66"/>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O8" i="68"/>
  <c r="Q8" i="68" s="1"/>
  <c r="P7" i="68"/>
  <c r="AE8" i="68"/>
  <c r="E12" i="111"/>
  <c r="A13" i="111"/>
  <c r="F12" i="111"/>
  <c r="B12" i="111"/>
  <c r="G12" i="111"/>
  <c r="O7" i="68"/>
  <c r="Q7" i="68" s="1"/>
  <c r="F12" i="95"/>
  <c r="B12" i="95"/>
  <c r="E12" i="95"/>
  <c r="G12" i="95"/>
  <c r="A13" i="95"/>
  <c r="P9" i="68"/>
  <c r="AB9" i="68" s="1"/>
  <c r="O9" i="68"/>
  <c r="Q9" i="68" s="1"/>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AE9" i="68"/>
  <c r="P8" i="68"/>
  <c r="AB8" i="68" s="1"/>
  <c r="P7" i="66" l="1"/>
  <c r="D11" i="96"/>
  <c r="F12" i="96"/>
  <c r="A13" i="96"/>
  <c r="A14" i="96" s="1"/>
  <c r="B12" i="96"/>
  <c r="C12" i="96" s="1"/>
  <c r="G12" i="96"/>
  <c r="N9" i="63"/>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O9" i="66"/>
  <c r="Q9" i="66" s="1"/>
  <c r="O7" i="66"/>
  <c r="Q7" i="66" s="1"/>
  <c r="O8" i="66"/>
  <c r="Q8" i="66" s="1"/>
  <c r="H7" i="70"/>
  <c r="I7" i="70"/>
  <c r="C8" i="70"/>
  <c r="E8" i="70"/>
  <c r="D7" i="70"/>
  <c r="C9" i="70"/>
  <c r="N9" i="70"/>
  <c r="K8" i="70"/>
  <c r="H8" i="70"/>
  <c r="E7" i="70"/>
  <c r="C7" i="70"/>
  <c r="I8" i="70"/>
  <c r="B8" i="70"/>
  <c r="AE8" i="70" s="1"/>
  <c r="G7" i="70"/>
  <c r="F9" i="70"/>
  <c r="M7" i="70"/>
  <c r="G9" i="70"/>
  <c r="M9" i="70"/>
  <c r="D8" i="70"/>
  <c r="B9" i="70"/>
  <c r="AE9" i="70" s="1"/>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AA9" i="68"/>
  <c r="AC9" i="68" s="1"/>
  <c r="AD9"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C7" i="112"/>
  <c r="D7" i="112"/>
  <c r="G11" i="101"/>
  <c r="A12" i="101"/>
  <c r="E11" i="101"/>
  <c r="B11" i="101"/>
  <c r="F11" i="101"/>
  <c r="A11" i="102"/>
  <c r="F10" i="102"/>
  <c r="G10" i="102"/>
  <c r="E10" i="102"/>
  <c r="B10" i="102"/>
  <c r="D10" i="101"/>
  <c r="C10" i="101"/>
  <c r="G12" i="100"/>
  <c r="F12" i="100"/>
  <c r="E12" i="100"/>
  <c r="B12" i="100"/>
  <c r="A13" i="100"/>
  <c r="D12" i="97"/>
  <c r="C12" i="97"/>
  <c r="C9" i="102"/>
  <c r="D9" i="102"/>
  <c r="C12" i="98"/>
  <c r="D12" i="98"/>
  <c r="AA8" i="66"/>
  <c r="AC8" i="66" l="1"/>
  <c r="B13" i="96"/>
  <c r="C13" i="96" s="1"/>
  <c r="F13" i="96"/>
  <c r="G13" i="96"/>
  <c r="E13" i="96"/>
  <c r="D12" i="96"/>
  <c r="O10" i="63"/>
  <c r="Q10" i="63" s="1"/>
  <c r="P10" i="63"/>
  <c r="O9" i="63"/>
  <c r="Q9" i="63" s="1"/>
  <c r="P9" i="63"/>
  <c r="O8" i="60"/>
  <c r="Q8" i="60" s="1"/>
  <c r="P9" i="109"/>
  <c r="AB9" i="109" s="1"/>
  <c r="AE9" i="109"/>
  <c r="O7" i="70"/>
  <c r="Q7" i="70" s="1"/>
  <c r="O7" i="60"/>
  <c r="Q7" i="60" s="1"/>
  <c r="P9" i="60"/>
  <c r="P7" i="63"/>
  <c r="AE7" i="60"/>
  <c r="AE9" i="66" s="1"/>
  <c r="AE9" i="63" s="1"/>
  <c r="AE7" i="66"/>
  <c r="AE7" i="63" s="1"/>
  <c r="O7" i="109"/>
  <c r="Q7" i="109" s="1"/>
  <c r="P9" i="70"/>
  <c r="AB9" i="70" s="1"/>
  <c r="AA7" i="66"/>
  <c r="O9" i="70"/>
  <c r="P7" i="70"/>
  <c r="AE8" i="109"/>
  <c r="O8" i="63"/>
  <c r="Q8" i="63" s="1"/>
  <c r="P7" i="109"/>
  <c r="P8" i="60"/>
  <c r="AB7" i="66" s="1"/>
  <c r="O9" i="60"/>
  <c r="Q9" i="60" s="1"/>
  <c r="P8" i="63"/>
  <c r="O7" i="63"/>
  <c r="Q7" i="63" s="1"/>
  <c r="O9" i="109"/>
  <c r="Q9" i="109" s="1"/>
  <c r="P7" i="60"/>
  <c r="AB9" i="66" s="1"/>
  <c r="P8" i="70"/>
  <c r="AB8" i="70" s="1"/>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C13" i="98"/>
  <c r="D13" i="98"/>
  <c r="F13" i="88"/>
  <c r="B13" i="88"/>
  <c r="A14" i="88"/>
  <c r="E13" i="88"/>
  <c r="G13" i="88"/>
  <c r="C13" i="111"/>
  <c r="D13" i="111"/>
  <c r="B14" i="98"/>
  <c r="E14" i="98"/>
  <c r="F14" i="98"/>
  <c r="G14" i="98"/>
  <c r="A15" i="98"/>
  <c r="F11" i="102"/>
  <c r="B11" i="102"/>
  <c r="G11" i="102"/>
  <c r="E11" i="102"/>
  <c r="A12" i="102"/>
  <c r="B9" i="112"/>
  <c r="G9" i="112"/>
  <c r="F9" i="112"/>
  <c r="A10" i="112"/>
  <c r="E9" i="112"/>
  <c r="AA9" i="66" l="1"/>
  <c r="AC9" i="66" s="1"/>
  <c r="AE8" i="63"/>
  <c r="AE7" i="70" s="1"/>
  <c r="AE7" i="68" s="1"/>
  <c r="AE7" i="109" s="1"/>
  <c r="D13" i="96"/>
  <c r="AC7" i="66"/>
  <c r="AA8" i="70"/>
  <c r="AC8" i="70" s="1"/>
  <c r="AD8" i="70" s="1"/>
  <c r="AA8" i="109"/>
  <c r="AC8" i="109" s="1"/>
  <c r="AD8" i="109" s="1"/>
  <c r="AA9" i="109"/>
  <c r="AC9" i="109" s="1"/>
  <c r="AD9" i="109" s="1"/>
  <c r="Q9" i="70"/>
  <c r="AA9" i="70"/>
  <c r="AC9" i="70" s="1"/>
  <c r="AD9" i="70" s="1"/>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D9" i="66" l="1"/>
  <c r="AD7" i="66"/>
  <c r="AD8" i="66"/>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7" i="72" l="1"/>
  <c r="C7" i="72" s="1"/>
  <c r="B8" i="72"/>
  <c r="C8" i="72" s="1"/>
  <c r="B9" i="72"/>
  <c r="F9" i="72" s="1"/>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F7" i="72" l="1"/>
  <c r="E7" i="72"/>
  <c r="D7" i="72"/>
  <c r="D8" i="72"/>
  <c r="F8" i="72"/>
  <c r="E8" i="72"/>
  <c r="G8" i="72" s="1"/>
  <c r="I8" i="72" s="1"/>
  <c r="E9" i="72"/>
  <c r="D9" i="72"/>
  <c r="H9" i="72" s="1"/>
  <c r="AB8" i="63" s="1"/>
  <c r="AA7" i="63"/>
  <c r="C9" i="72"/>
  <c r="G7" i="72"/>
  <c r="H7" i="72"/>
  <c r="AB9" i="63" s="1"/>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G9" i="72" l="1"/>
  <c r="I9" i="72" s="1"/>
  <c r="H8" i="72"/>
  <c r="AB7" i="63" s="1"/>
  <c r="AC7" i="63" s="1"/>
  <c r="I7" i="72"/>
  <c r="AA9" i="63"/>
  <c r="AC9" i="63" s="1"/>
  <c r="AD9" i="63" s="1"/>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D8" i="73" l="1"/>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I7" i="73" l="1"/>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K7" i="75" s="1"/>
  <c r="B9" i="75"/>
  <c r="I9" i="75" s="1"/>
  <c r="D8" i="75"/>
  <c r="C8" i="75"/>
  <c r="L8" i="75"/>
  <c r="J8" i="75"/>
  <c r="G8" i="75"/>
  <c r="I8" i="75"/>
  <c r="E8" i="75"/>
  <c r="H8" i="75"/>
  <c r="K8" i="75"/>
  <c r="F8"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J9" i="75" l="1"/>
  <c r="J7" i="75"/>
  <c r="D7" i="75"/>
  <c r="F9" i="75"/>
  <c r="AA7" i="109"/>
  <c r="E7" i="75"/>
  <c r="G9" i="75"/>
  <c r="L7" i="75"/>
  <c r="L9" i="75"/>
  <c r="H7" i="75"/>
  <c r="C9" i="75"/>
  <c r="H9" i="75"/>
  <c r="D9" i="75"/>
  <c r="K9" i="75"/>
  <c r="C7" i="75"/>
  <c r="E9" i="75"/>
  <c r="I7" i="75"/>
  <c r="G7" i="75"/>
  <c r="F7" i="75"/>
  <c r="AB7" i="109"/>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AC7" i="109" l="1"/>
  <c r="AD7" i="109" s="1"/>
  <c r="B9" i="110" s="1"/>
  <c r="J9" i="110" s="1"/>
  <c r="N7" i="75"/>
  <c r="M9" i="75"/>
  <c r="O9" i="75" s="1"/>
  <c r="M7" i="75"/>
  <c r="O7" i="75" s="1"/>
  <c r="N9" i="75"/>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H8" i="110" s="1"/>
  <c r="B7" i="110"/>
  <c r="D7" i="110" s="1"/>
  <c r="M9" i="110"/>
  <c r="H9" i="110"/>
  <c r="I9" i="110"/>
  <c r="G9" i="110"/>
  <c r="F9" i="110"/>
  <c r="N9" i="110"/>
  <c r="C9" i="110"/>
  <c r="L9" i="110"/>
  <c r="K9" i="110"/>
  <c r="E9" i="110"/>
  <c r="D9"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M8" i="110" l="1"/>
  <c r="E8" i="110"/>
  <c r="C8" i="110"/>
  <c r="H7" i="110"/>
  <c r="I7" i="110"/>
  <c r="F8" i="110"/>
  <c r="N8" i="110"/>
  <c r="J8" i="110"/>
  <c r="L8" i="110"/>
  <c r="D8" i="110"/>
  <c r="I8" i="110"/>
  <c r="K8" i="110"/>
  <c r="G8" i="110"/>
  <c r="K7" i="110"/>
  <c r="F7" i="110"/>
  <c r="G7" i="110"/>
  <c r="M7" i="110"/>
  <c r="N7" i="110"/>
  <c r="E7" i="110"/>
  <c r="C7" i="110"/>
  <c r="J7" i="110"/>
  <c r="L7" i="110"/>
  <c r="O9" i="110"/>
  <c r="Q9" i="110" s="1"/>
  <c r="P9" i="110"/>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O8" i="110" l="1"/>
  <c r="Q8" i="110" s="1"/>
  <c r="P8" i="110"/>
  <c r="O7" i="110"/>
  <c r="Q7" i="110" s="1"/>
  <c r="P7" i="110"/>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<sst xmlns="http://schemas.openxmlformats.org/spreadsheetml/2006/main" count="13212" uniqueCount="2534">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</sst>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399">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4" fontId="7" fillId="0" borderId="0" xfId="0" applyNumberFormat="1" applyFont="1" applyAlignment="1">
      <alignment horizontal="center" vertical="center"/>
    </xf>
    <xf numFmtId="0" fontId="0" fillId="0" borderId="0" xfId="0"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5" fillId="0" borderId="34" xfId="0" applyFont="1" applyBorder="1" applyAlignment="1">
      <alignment horizontal="center" vertical="center"/>
    </xf>
    <xf numFmtId="14" fontId="7" fillId="0" borderId="0" xfId="0" applyNumberFormat="1" applyFont="1" applyAlignment="1">
      <alignment horizontal="center"/>
    </xf>
    <xf numFmtId="0" fontId="2" fillId="0" borderId="60" xfId="0" applyFont="1" applyBorder="1" applyAlignment="1">
      <alignment horizontal="center" vertical="center"/>
    </xf>
    <xf numFmtId="0" fontId="22" fillId="0" borderId="0" xfId="0" applyFont="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129540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15240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97bf6d2a9305fdc/Desktop/Liga%202425/Kopie%20von%20aktive_240813.xls" TargetMode="External"/><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2416</v>
      </c>
      <c r="C1" s="51" t="s">
        <v>1943</v>
      </c>
      <c r="E1" t="s">
        <v>1934</v>
      </c>
    </row>
    <row r="2" spans="1:5" x14ac:dyDescent="0.25">
      <c r="A2" s="6">
        <v>2</v>
      </c>
      <c r="B2" s="276" t="s">
        <v>2415</v>
      </c>
      <c r="C2" s="51" t="s">
        <v>1943</v>
      </c>
      <c r="E2" t="s">
        <v>1935</v>
      </c>
    </row>
    <row r="3" spans="1:5" x14ac:dyDescent="0.25">
      <c r="A3" s="6">
        <v>3</v>
      </c>
      <c r="B3" s="276" t="s">
        <v>2417</v>
      </c>
      <c r="C3" s="51" t="s">
        <v>1943</v>
      </c>
      <c r="E3" t="s">
        <v>1933</v>
      </c>
    </row>
    <row r="4" spans="1:5" x14ac:dyDescent="0.25">
      <c r="A4" s="6">
        <v>4</v>
      </c>
      <c r="B4" s="276" t="s">
        <v>2418</v>
      </c>
      <c r="C4" s="51" t="s">
        <v>1943</v>
      </c>
      <c r="E4" t="s">
        <v>1936</v>
      </c>
    </row>
    <row r="5" spans="1:5" x14ac:dyDescent="0.25">
      <c r="A5" s="6">
        <v>5</v>
      </c>
      <c r="B5" s="276" t="s">
        <v>2419</v>
      </c>
      <c r="C5" s="51" t="s">
        <v>1943</v>
      </c>
      <c r="E5" t="s">
        <v>1952</v>
      </c>
    </row>
    <row r="6" spans="1:5" x14ac:dyDescent="0.25">
      <c r="A6" s="6">
        <v>6</v>
      </c>
      <c r="B6" s="276" t="s">
        <v>2420</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7" t="s">
        <v>2051</v>
      </c>
      <c r="B18" s="297"/>
      <c r="C18" s="201" t="s">
        <v>2414</v>
      </c>
      <c r="E18" t="s">
        <v>1949</v>
      </c>
    </row>
    <row r="19" spans="1:5" x14ac:dyDescent="0.25">
      <c r="E19" t="s">
        <v>1950</v>
      </c>
    </row>
    <row r="20" spans="1:5" x14ac:dyDescent="0.25">
      <c r="A20" s="298" t="s">
        <v>2052</v>
      </c>
      <c r="B20" s="298"/>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CK5" activePane="bottomRight" state="frozen"/>
      <selection activeCell="C3" sqref="C3:J3"/>
      <selection pane="topRight" activeCell="C3" sqref="C3:J3"/>
      <selection pane="bottomLeft" activeCell="C3" sqref="C3:J3"/>
      <selection pane="bottomRight" activeCell="BN20" sqref="BN20"/>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03" t="s">
        <v>2326</v>
      </c>
      <c r="D1" s="304"/>
      <c r="E1" s="304"/>
      <c r="F1" s="304"/>
      <c r="G1" s="304"/>
      <c r="H1" s="304"/>
      <c r="I1" s="304"/>
      <c r="J1" s="304"/>
      <c r="K1" s="304"/>
      <c r="L1" s="305"/>
      <c r="M1" s="309" t="str">
        <f>VLOOKUP($S$2,Spielorte!$A$1:$C$6,2)</f>
        <v>29.09.</v>
      </c>
      <c r="N1" s="310"/>
      <c r="O1" s="310"/>
      <c r="P1" s="310"/>
      <c r="Q1" s="310"/>
      <c r="R1" s="310"/>
      <c r="S1" s="310"/>
      <c r="T1" s="310"/>
      <c r="U1" s="310"/>
      <c r="V1" s="311"/>
      <c r="W1" s="312" t="str">
        <f>+C1</f>
        <v>Landesliga Nord Frauen</v>
      </c>
      <c r="X1" s="313"/>
      <c r="Y1" s="313"/>
      <c r="Z1" s="313"/>
      <c r="AA1" s="313"/>
      <c r="AB1" s="313"/>
      <c r="AC1" s="313"/>
      <c r="AD1" s="313"/>
      <c r="AE1" s="313"/>
      <c r="AF1" s="314"/>
      <c r="AG1" s="309" t="str">
        <f>VLOOKUP($AM$2,Spielorte!$A$1:$C$6,2)</f>
        <v>13.10.</v>
      </c>
      <c r="AH1" s="310"/>
      <c r="AI1" s="310"/>
      <c r="AJ1" s="310"/>
      <c r="AK1" s="310"/>
      <c r="AL1" s="310"/>
      <c r="AM1" s="310"/>
      <c r="AN1" s="310"/>
      <c r="AO1" s="310"/>
      <c r="AP1" s="311"/>
      <c r="AQ1" s="312" t="str">
        <f>+W1</f>
        <v>Landesliga Nord Frauen</v>
      </c>
      <c r="AR1" s="313"/>
      <c r="AS1" s="313"/>
      <c r="AT1" s="313"/>
      <c r="AU1" s="313"/>
      <c r="AV1" s="313"/>
      <c r="AW1" s="313"/>
      <c r="AX1" s="313"/>
      <c r="AY1" s="313"/>
      <c r="AZ1" s="314"/>
      <c r="BA1" s="309" t="str">
        <f>VLOOKUP($BG$2,Spielorte!$A$1:$C$6,2)</f>
        <v>16.02.</v>
      </c>
      <c r="BB1" s="310"/>
      <c r="BC1" s="310"/>
      <c r="BD1" s="310"/>
      <c r="BE1" s="310"/>
      <c r="BF1" s="310"/>
      <c r="BG1" s="310"/>
      <c r="BH1" s="310"/>
      <c r="BI1" s="310"/>
      <c r="BJ1" s="311"/>
      <c r="BK1" s="312" t="str">
        <f>+AQ1</f>
        <v>Landesliga Nord Frauen</v>
      </c>
      <c r="BL1" s="313"/>
      <c r="BM1" s="313"/>
      <c r="BN1" s="313"/>
      <c r="BO1" s="313"/>
      <c r="BP1" s="313"/>
      <c r="BQ1" s="313"/>
      <c r="BR1" s="313"/>
      <c r="BS1" s="313"/>
      <c r="BT1" s="314"/>
      <c r="BU1" s="309" t="str">
        <f>VLOOKUP($CA$2,Spielorte!$A$1:$C$6,2)</f>
        <v>16.03.</v>
      </c>
      <c r="BV1" s="310"/>
      <c r="BW1" s="310"/>
      <c r="BX1" s="310"/>
      <c r="BY1" s="310"/>
      <c r="BZ1" s="310"/>
      <c r="CA1" s="310"/>
      <c r="CB1" s="310"/>
      <c r="CC1" s="310"/>
      <c r="CD1" s="311"/>
      <c r="CE1" s="312" t="str">
        <f>+BK1</f>
        <v>Landesliga Nord Frauen</v>
      </c>
      <c r="CF1" s="313"/>
      <c r="CG1" s="313"/>
      <c r="CH1" s="313"/>
      <c r="CI1" s="313"/>
      <c r="CJ1" s="313"/>
      <c r="CK1" s="313"/>
      <c r="CL1" s="313"/>
      <c r="CM1" s="313"/>
      <c r="CN1" s="314"/>
      <c r="CO1" s="309" t="str">
        <f>VLOOKUP($CU$2,Spielorte!$A$1:$C$6,2)</f>
        <v>13.04.</v>
      </c>
      <c r="CP1" s="310"/>
      <c r="CQ1" s="310"/>
      <c r="CR1" s="310"/>
      <c r="CS1" s="310"/>
      <c r="CT1" s="310"/>
      <c r="CU1" s="310"/>
      <c r="CV1" s="310"/>
      <c r="CW1" s="310"/>
      <c r="CX1" s="311"/>
      <c r="CY1" s="312" t="str">
        <f>+CE1</f>
        <v>Landesliga Nord Frauen</v>
      </c>
      <c r="CZ1" s="313"/>
      <c r="DA1" s="313"/>
      <c r="DB1" s="313"/>
      <c r="DC1" s="313"/>
      <c r="DD1" s="313"/>
      <c r="DE1" s="313"/>
      <c r="DF1" s="313"/>
      <c r="DG1" s="313"/>
      <c r="DH1" s="314"/>
      <c r="DI1" s="309" t="str">
        <f>VLOOKUP($DO$2,Spielorte!$A$1:$C$6,2)</f>
        <v>18.05.</v>
      </c>
      <c r="DJ1" s="310"/>
      <c r="DK1" s="310"/>
      <c r="DL1" s="310"/>
      <c r="DM1" s="310"/>
      <c r="DN1" s="310"/>
      <c r="DO1" s="310"/>
      <c r="DP1" s="310"/>
      <c r="DQ1" s="310"/>
      <c r="DR1" s="311"/>
    </row>
    <row r="2" spans="1:122" ht="24" customHeight="1" x14ac:dyDescent="0.25">
      <c r="C2" s="306" t="str">
        <f>VLOOKUP($S$2,Spielorte!$A$1:$C$6,3)</f>
        <v>Nürnberg West Bowling</v>
      </c>
      <c r="D2" s="307"/>
      <c r="E2" s="307"/>
      <c r="F2" s="307"/>
      <c r="G2" s="307"/>
      <c r="H2" s="307"/>
      <c r="I2" s="307"/>
      <c r="J2" s="307"/>
      <c r="K2" s="307"/>
      <c r="L2" s="308"/>
      <c r="M2" s="315" t="s">
        <v>1784</v>
      </c>
      <c r="N2" s="316"/>
      <c r="O2" s="316"/>
      <c r="P2" s="316"/>
      <c r="Q2" s="316"/>
      <c r="R2" s="316"/>
      <c r="S2" s="53">
        <v>1</v>
      </c>
      <c r="T2" s="2"/>
      <c r="U2" s="2"/>
      <c r="V2" s="54"/>
      <c r="W2" s="306" t="str">
        <f>VLOOKUP($AM$2,Spielorte!$A$1:$C$6,3)</f>
        <v>Nürnberg West Bowling</v>
      </c>
      <c r="X2" s="307"/>
      <c r="Y2" s="307"/>
      <c r="Z2" s="307"/>
      <c r="AA2" s="307"/>
      <c r="AB2" s="307"/>
      <c r="AC2" s="307"/>
      <c r="AD2" s="307"/>
      <c r="AE2" s="307"/>
      <c r="AF2" s="308"/>
      <c r="AG2" s="315" t="s">
        <v>1784</v>
      </c>
      <c r="AH2" s="316"/>
      <c r="AI2" s="316"/>
      <c r="AJ2" s="316"/>
      <c r="AK2" s="316"/>
      <c r="AL2" s="316"/>
      <c r="AM2" s="53">
        <v>2</v>
      </c>
      <c r="AN2" s="2"/>
      <c r="AO2" s="2"/>
      <c r="AP2" s="54"/>
      <c r="AQ2" s="306" t="str">
        <f>VLOOKUP($BG$2,Spielorte!$A$1:$C$6,3)</f>
        <v>Nürnberg West Bowling</v>
      </c>
      <c r="AR2" s="307"/>
      <c r="AS2" s="307"/>
      <c r="AT2" s="307"/>
      <c r="AU2" s="307"/>
      <c r="AV2" s="307"/>
      <c r="AW2" s="307"/>
      <c r="AX2" s="307"/>
      <c r="AY2" s="307"/>
      <c r="AZ2" s="308"/>
      <c r="BA2" s="315" t="s">
        <v>1784</v>
      </c>
      <c r="BB2" s="316"/>
      <c r="BC2" s="316"/>
      <c r="BD2" s="316"/>
      <c r="BE2" s="316"/>
      <c r="BF2" s="316"/>
      <c r="BG2" s="53">
        <v>3</v>
      </c>
      <c r="BH2" s="2"/>
      <c r="BI2" s="2"/>
      <c r="BJ2" s="54"/>
      <c r="BK2" s="306" t="str">
        <f>VLOOKUP($CA$2,Spielorte!$A$1:$C$6,3)</f>
        <v>Nürnberg West Bowling</v>
      </c>
      <c r="BL2" s="307"/>
      <c r="BM2" s="307"/>
      <c r="BN2" s="307"/>
      <c r="BO2" s="307"/>
      <c r="BP2" s="307"/>
      <c r="BQ2" s="307"/>
      <c r="BR2" s="307"/>
      <c r="BS2" s="307"/>
      <c r="BT2" s="308"/>
      <c r="BU2" s="315" t="s">
        <v>1784</v>
      </c>
      <c r="BV2" s="316"/>
      <c r="BW2" s="316"/>
      <c r="BX2" s="316"/>
      <c r="BY2" s="316"/>
      <c r="BZ2" s="316"/>
      <c r="CA2" s="53">
        <v>4</v>
      </c>
      <c r="CB2" s="2"/>
      <c r="CC2" s="2"/>
      <c r="CD2" s="54"/>
      <c r="CE2" s="306" t="str">
        <f>VLOOKUP($CU$2,Spielorte!$A$1:$C$6,3)</f>
        <v>Nürnberg West Bowling</v>
      </c>
      <c r="CF2" s="307"/>
      <c r="CG2" s="307"/>
      <c r="CH2" s="307"/>
      <c r="CI2" s="307"/>
      <c r="CJ2" s="307"/>
      <c r="CK2" s="307"/>
      <c r="CL2" s="307"/>
      <c r="CM2" s="307"/>
      <c r="CN2" s="308"/>
      <c r="CO2" s="315" t="s">
        <v>1784</v>
      </c>
      <c r="CP2" s="316"/>
      <c r="CQ2" s="316"/>
      <c r="CR2" s="316"/>
      <c r="CS2" s="316"/>
      <c r="CT2" s="316"/>
      <c r="CU2" s="53">
        <v>5</v>
      </c>
      <c r="CV2" s="2"/>
      <c r="CW2" s="2"/>
      <c r="CX2" s="54"/>
      <c r="CY2" s="306" t="str">
        <f>VLOOKUP($DO$2,Spielorte!$A$1:$C$6,3)</f>
        <v>Nürnberg West Bowling</v>
      </c>
      <c r="CZ2" s="307"/>
      <c r="DA2" s="307"/>
      <c r="DB2" s="307"/>
      <c r="DC2" s="307"/>
      <c r="DD2" s="307"/>
      <c r="DE2" s="307"/>
      <c r="DF2" s="307"/>
      <c r="DG2" s="307"/>
      <c r="DH2" s="308"/>
      <c r="DI2" s="315" t="s">
        <v>1784</v>
      </c>
      <c r="DJ2" s="316"/>
      <c r="DK2" s="316"/>
      <c r="DL2" s="316"/>
      <c r="DM2" s="316"/>
      <c r="DN2" s="316"/>
      <c r="DO2" s="53">
        <v>6</v>
      </c>
      <c r="DP2" s="2"/>
      <c r="DQ2" s="2"/>
      <c r="DR2" s="54"/>
    </row>
    <row r="3" spans="1:122" ht="12.75" customHeight="1" x14ac:dyDescent="0.25">
      <c r="C3" s="299" t="s">
        <v>9</v>
      </c>
      <c r="D3" s="300"/>
      <c r="E3" s="300"/>
      <c r="F3" s="300"/>
      <c r="G3" s="300"/>
      <c r="H3" s="300"/>
      <c r="I3" s="300"/>
      <c r="J3" s="300"/>
      <c r="K3" s="300"/>
      <c r="L3" s="301"/>
      <c r="M3" s="302" t="s">
        <v>10</v>
      </c>
      <c r="N3" s="300"/>
      <c r="O3" s="300"/>
      <c r="P3" s="300"/>
      <c r="Q3" s="300"/>
      <c r="R3" s="300"/>
      <c r="S3" s="300"/>
      <c r="T3" s="300"/>
      <c r="V3" s="55" t="s">
        <v>1785</v>
      </c>
      <c r="W3" s="299" t="s">
        <v>9</v>
      </c>
      <c r="X3" s="300"/>
      <c r="Y3" s="300"/>
      <c r="Z3" s="300"/>
      <c r="AA3" s="300"/>
      <c r="AB3" s="300"/>
      <c r="AC3" s="300"/>
      <c r="AD3" s="300"/>
      <c r="AE3" s="300"/>
      <c r="AF3" s="301"/>
      <c r="AG3" s="302" t="s">
        <v>10</v>
      </c>
      <c r="AH3" s="300"/>
      <c r="AI3" s="300"/>
      <c r="AJ3" s="300"/>
      <c r="AK3" s="300"/>
      <c r="AL3" s="300"/>
      <c r="AM3" s="300"/>
      <c r="AN3" s="300"/>
      <c r="AP3" s="55" t="s">
        <v>1785</v>
      </c>
      <c r="AQ3" s="299" t="s">
        <v>9</v>
      </c>
      <c r="AR3" s="300"/>
      <c r="AS3" s="300"/>
      <c r="AT3" s="300"/>
      <c r="AU3" s="300"/>
      <c r="AV3" s="300"/>
      <c r="AW3" s="300"/>
      <c r="AX3" s="300"/>
      <c r="AY3" s="300"/>
      <c r="AZ3" s="301"/>
      <c r="BA3" s="302" t="s">
        <v>10</v>
      </c>
      <c r="BB3" s="300"/>
      <c r="BC3" s="300"/>
      <c r="BD3" s="300"/>
      <c r="BE3" s="300"/>
      <c r="BF3" s="300"/>
      <c r="BG3" s="300"/>
      <c r="BH3" s="300"/>
      <c r="BJ3" s="55" t="s">
        <v>1785</v>
      </c>
      <c r="BK3" s="299" t="s">
        <v>9</v>
      </c>
      <c r="BL3" s="300"/>
      <c r="BM3" s="300"/>
      <c r="BN3" s="300"/>
      <c r="BO3" s="300"/>
      <c r="BP3" s="300"/>
      <c r="BQ3" s="300"/>
      <c r="BR3" s="300"/>
      <c r="BS3" s="300"/>
      <c r="BT3" s="301"/>
      <c r="BU3" s="302" t="s">
        <v>10</v>
      </c>
      <c r="BV3" s="300"/>
      <c r="BW3" s="300"/>
      <c r="BX3" s="300"/>
      <c r="BY3" s="300"/>
      <c r="BZ3" s="300"/>
      <c r="CA3" s="300"/>
      <c r="CB3" s="300"/>
      <c r="CD3" s="55" t="s">
        <v>1785</v>
      </c>
      <c r="CE3" s="299" t="s">
        <v>9</v>
      </c>
      <c r="CF3" s="300"/>
      <c r="CG3" s="300"/>
      <c r="CH3" s="300"/>
      <c r="CI3" s="300"/>
      <c r="CJ3" s="300"/>
      <c r="CK3" s="300"/>
      <c r="CL3" s="300"/>
      <c r="CM3" s="300"/>
      <c r="CN3" s="301"/>
      <c r="CO3" s="302" t="s">
        <v>10</v>
      </c>
      <c r="CP3" s="300"/>
      <c r="CQ3" s="300"/>
      <c r="CR3" s="300"/>
      <c r="CS3" s="300"/>
      <c r="CT3" s="300"/>
      <c r="CU3" s="300"/>
      <c r="CV3" s="300"/>
      <c r="CX3" s="55" t="s">
        <v>1785</v>
      </c>
      <c r="CY3" s="299" t="s">
        <v>9</v>
      </c>
      <c r="CZ3" s="300"/>
      <c r="DA3" s="300"/>
      <c r="DB3" s="300"/>
      <c r="DC3" s="300"/>
      <c r="DD3" s="300"/>
      <c r="DE3" s="300"/>
      <c r="DF3" s="300"/>
      <c r="DG3" s="300"/>
      <c r="DH3" s="301"/>
      <c r="DI3" s="302" t="s">
        <v>10</v>
      </c>
      <c r="DJ3" s="300"/>
      <c r="DK3" s="300"/>
      <c r="DL3" s="300"/>
      <c r="DM3" s="300"/>
      <c r="DN3" s="300"/>
      <c r="DO3" s="300"/>
      <c r="DP3" s="300"/>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11</v>
      </c>
      <c r="BW5">
        <f>BW12+CD4-1</f>
        <v>12</v>
      </c>
      <c r="BX5">
        <f>BX12+CD4-1</f>
        <v>11</v>
      </c>
      <c r="BY5">
        <f>BY12+CD4-1</f>
        <v>12</v>
      </c>
      <c r="BZ5">
        <f>BZ12+CD4-1</f>
        <v>11</v>
      </c>
      <c r="CD5" s="59">
        <f>SUM(BU5:CC5)</f>
        <v>69</v>
      </c>
      <c r="CE5" s="58"/>
      <c r="CF5" s="6"/>
      <c r="CG5" s="6"/>
      <c r="CH5" s="6"/>
      <c r="CI5" s="6"/>
      <c r="CJ5" s="6"/>
      <c r="CK5" s="6"/>
      <c r="CL5" s="6"/>
      <c r="CM5" s="6"/>
      <c r="CN5" s="52">
        <f>SUM(CE5:CM5)</f>
        <v>0</v>
      </c>
      <c r="CX5" s="59">
        <f>SUM(CO5:CW5)</f>
        <v>0</v>
      </c>
      <c r="CY5" s="58">
        <v>3</v>
      </c>
      <c r="CZ5" s="6">
        <v>3</v>
      </c>
      <c r="DA5" s="6">
        <v>3</v>
      </c>
      <c r="DB5" s="6">
        <v>3</v>
      </c>
      <c r="DC5" s="6">
        <v>3</v>
      </c>
      <c r="DD5" s="6">
        <v>3</v>
      </c>
      <c r="DE5" s="6"/>
      <c r="DF5" s="6"/>
      <c r="DG5" s="6"/>
      <c r="DH5" s="52">
        <f>SUM(CY5:DG5)</f>
        <v>18</v>
      </c>
      <c r="DI5">
        <f>DI12+DR4-1</f>
        <v>22</v>
      </c>
      <c r="DJ5">
        <f>DJ12+DR4-1</f>
        <v>21</v>
      </c>
      <c r="DK5">
        <f>DK12+DR4-1</f>
        <v>22</v>
      </c>
      <c r="DL5">
        <f>DL12+DR4-1</f>
        <v>21</v>
      </c>
      <c r="DM5">
        <f>DM12+DR4-1</f>
        <v>22</v>
      </c>
      <c r="DN5">
        <f>DN12+DR4-1</f>
        <v>21</v>
      </c>
      <c r="DR5" s="59">
        <f>SUM(DI5:DQ5)</f>
        <v>129</v>
      </c>
    </row>
    <row r="6" spans="1:122" x14ac:dyDescent="0.25">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12</v>
      </c>
      <c r="BW6">
        <f>BW13+CD4-1</f>
        <v>11</v>
      </c>
      <c r="BX6">
        <f>BX13+CD4-1</f>
        <v>12</v>
      </c>
      <c r="BY6">
        <f>BY13+CD4-1</f>
        <v>11</v>
      </c>
      <c r="BZ6">
        <f>BZ13+CD4-1</f>
        <v>12</v>
      </c>
      <c r="CD6" s="59">
        <f>SUM(BU6:CC6)</f>
        <v>69</v>
      </c>
      <c r="CE6" s="58">
        <v>3</v>
      </c>
      <c r="CF6" s="6">
        <v>3</v>
      </c>
      <c r="CG6" s="6">
        <v>3</v>
      </c>
      <c r="CH6" s="6">
        <v>3</v>
      </c>
      <c r="CI6" s="6">
        <v>3</v>
      </c>
      <c r="CJ6" s="6">
        <v>3</v>
      </c>
      <c r="CK6" s="6"/>
      <c r="CL6" s="6"/>
      <c r="CM6" s="6"/>
      <c r="CN6" s="52">
        <f>SUM(CE6:CM6)</f>
        <v>18</v>
      </c>
      <c r="CO6">
        <f>CO13+CX4-1</f>
        <v>12</v>
      </c>
      <c r="CP6">
        <f>CP13+CX4-1</f>
        <v>11</v>
      </c>
      <c r="CQ6">
        <f>CQ13+CX4-1</f>
        <v>12</v>
      </c>
      <c r="CR6">
        <f>CR13+CX4-1</f>
        <v>11</v>
      </c>
      <c r="CS6">
        <f>CS13+CX4-1</f>
        <v>12</v>
      </c>
      <c r="CT6">
        <f>CT13+CX4-1</f>
        <v>11</v>
      </c>
      <c r="CX6" s="59">
        <f>SUM(CO6:CW6)</f>
        <v>69</v>
      </c>
      <c r="CY6" s="58"/>
      <c r="CZ6" s="6"/>
      <c r="DA6" s="6"/>
      <c r="DB6" s="6"/>
      <c r="DC6" s="6"/>
      <c r="DD6" s="6"/>
      <c r="DE6" s="6"/>
      <c r="DF6" s="6"/>
      <c r="DG6" s="6"/>
      <c r="DH6" s="52">
        <f>SUM(CY6:DG6)</f>
        <v>0</v>
      </c>
      <c r="DR6" s="59">
        <f>SUM(DI6:DQ6)</f>
        <v>0</v>
      </c>
    </row>
    <row r="7" spans="1:122" x14ac:dyDescent="0.25">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9">+AQ7</f>
        <v>1</v>
      </c>
      <c r="AS7" s="6">
        <f t="shared" si="9"/>
        <v>1</v>
      </c>
      <c r="AT7" s="6">
        <f t="shared" si="9"/>
        <v>1</v>
      </c>
      <c r="AU7" s="6">
        <f t="shared" si="9"/>
        <v>1</v>
      </c>
      <c r="AV7" s="6">
        <f t="shared" si="9"/>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2</v>
      </c>
      <c r="CF7" s="6">
        <v>2</v>
      </c>
      <c r="CG7" s="6">
        <v>2</v>
      </c>
      <c r="CH7" s="6">
        <v>2</v>
      </c>
      <c r="CI7" s="6">
        <v>2</v>
      </c>
      <c r="CJ7" s="6">
        <v>2</v>
      </c>
      <c r="CK7" s="6"/>
      <c r="CL7" s="6"/>
      <c r="CM7" s="6"/>
      <c r="CN7" s="52">
        <f>SUM(CE7:CM7)</f>
        <v>12</v>
      </c>
      <c r="CO7">
        <f>CO14+CX4-1</f>
        <v>11</v>
      </c>
      <c r="CP7">
        <f>CP14+CX4-1</f>
        <v>12</v>
      </c>
      <c r="CQ7">
        <f>CQ14+CX4-1</f>
        <v>11</v>
      </c>
      <c r="CR7">
        <f>CR14+CX4-1</f>
        <v>12</v>
      </c>
      <c r="CS7">
        <f>CS14+CX4-1</f>
        <v>11</v>
      </c>
      <c r="CT7">
        <f>CT14+CX4-1</f>
        <v>12</v>
      </c>
      <c r="CX7" s="59">
        <f>SUM(CO7:CW7)</f>
        <v>69</v>
      </c>
      <c r="CY7" s="58">
        <v>1</v>
      </c>
      <c r="CZ7" s="6">
        <v>1</v>
      </c>
      <c r="DA7" s="6">
        <f t="shared" ref="DA7:DD7" si="10">+CZ7</f>
        <v>1</v>
      </c>
      <c r="DB7" s="6">
        <f t="shared" si="10"/>
        <v>1</v>
      </c>
      <c r="DC7" s="6">
        <f t="shared" si="10"/>
        <v>1</v>
      </c>
      <c r="DD7" s="6">
        <f t="shared" si="10"/>
        <v>1</v>
      </c>
      <c r="DE7" s="6"/>
      <c r="DF7" s="6"/>
      <c r="DG7" s="6"/>
      <c r="DH7" s="52">
        <f>SUM(CY7:DG7)</f>
        <v>6</v>
      </c>
      <c r="DI7">
        <f>DI14+DR4-1</f>
        <v>21</v>
      </c>
      <c r="DJ7">
        <f>DJ14+DR4-1</f>
        <v>22</v>
      </c>
      <c r="DK7">
        <f>DK14+DR4-1</f>
        <v>21</v>
      </c>
      <c r="DL7">
        <f>DL14+DR4-1</f>
        <v>22</v>
      </c>
      <c r="DM7">
        <f>DM14+DR4-1</f>
        <v>21</v>
      </c>
      <c r="DN7">
        <f>DN14+DR4-1</f>
        <v>22</v>
      </c>
      <c r="DR7" s="59">
        <f>SUM(DI7:DQ7)</f>
        <v>129</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1">SUM(C5:C8)</f>
        <v>3</v>
      </c>
      <c r="D9">
        <f t="shared" si="11"/>
        <v>3</v>
      </c>
      <c r="E9">
        <f t="shared" si="11"/>
        <v>3</v>
      </c>
      <c r="F9">
        <f t="shared" si="11"/>
        <v>3</v>
      </c>
      <c r="G9">
        <f t="shared" si="11"/>
        <v>3</v>
      </c>
      <c r="H9">
        <f t="shared" si="11"/>
        <v>3</v>
      </c>
      <c r="M9">
        <f t="shared" ref="M9:R9" si="12">SUM(M5:M8)</f>
        <v>19</v>
      </c>
      <c r="N9">
        <f t="shared" si="12"/>
        <v>19</v>
      </c>
      <c r="O9">
        <f t="shared" si="12"/>
        <v>19</v>
      </c>
      <c r="P9">
        <f t="shared" si="12"/>
        <v>19</v>
      </c>
      <c r="Q9">
        <f t="shared" si="12"/>
        <v>19</v>
      </c>
      <c r="R9">
        <f t="shared" si="12"/>
        <v>19</v>
      </c>
      <c r="V9" s="61"/>
      <c r="W9" s="60">
        <f t="shared" ref="W9:AB9" si="13">SUM(W5:W8)</f>
        <v>4</v>
      </c>
      <c r="X9">
        <f t="shared" si="13"/>
        <v>4</v>
      </c>
      <c r="Y9">
        <f t="shared" si="13"/>
        <v>4</v>
      </c>
      <c r="Z9">
        <f t="shared" si="13"/>
        <v>4</v>
      </c>
      <c r="AA9">
        <f t="shared" si="13"/>
        <v>4</v>
      </c>
      <c r="AB9">
        <f t="shared" si="13"/>
        <v>4</v>
      </c>
      <c r="AG9">
        <f t="shared" ref="AG9:AL9" si="14">SUM(AG5:AG8)</f>
        <v>15</v>
      </c>
      <c r="AH9">
        <f t="shared" si="14"/>
        <v>15</v>
      </c>
      <c r="AI9">
        <f t="shared" si="14"/>
        <v>15</v>
      </c>
      <c r="AJ9">
        <f t="shared" si="14"/>
        <v>15</v>
      </c>
      <c r="AK9">
        <f t="shared" si="14"/>
        <v>15</v>
      </c>
      <c r="AL9">
        <f t="shared" si="14"/>
        <v>15</v>
      </c>
      <c r="AP9" s="61"/>
      <c r="AQ9" s="60">
        <f t="shared" ref="AQ9:AV9" si="15">SUM(AQ5:AQ8)</f>
        <v>4</v>
      </c>
      <c r="AR9">
        <f t="shared" si="15"/>
        <v>4</v>
      </c>
      <c r="AS9">
        <f t="shared" si="15"/>
        <v>4</v>
      </c>
      <c r="AT9">
        <f t="shared" si="15"/>
        <v>4</v>
      </c>
      <c r="AU9">
        <f t="shared" si="15"/>
        <v>4</v>
      </c>
      <c r="AV9">
        <f t="shared" si="15"/>
        <v>4</v>
      </c>
      <c r="BA9">
        <f t="shared" ref="BA9:BF9" si="16">SUM(BA5:BA8)</f>
        <v>23</v>
      </c>
      <c r="BB9">
        <f t="shared" si="16"/>
        <v>23</v>
      </c>
      <c r="BC9">
        <f t="shared" si="16"/>
        <v>23</v>
      </c>
      <c r="BD9">
        <f t="shared" si="16"/>
        <v>23</v>
      </c>
      <c r="BE9">
        <f t="shared" si="16"/>
        <v>23</v>
      </c>
      <c r="BF9">
        <f t="shared" si="16"/>
        <v>23</v>
      </c>
      <c r="BJ9" s="61"/>
      <c r="BK9" s="60">
        <f t="shared" ref="BK9:BP9" si="17">SUM(BK5:BK8)</f>
        <v>3</v>
      </c>
      <c r="BL9">
        <f t="shared" si="17"/>
        <v>3</v>
      </c>
      <c r="BM9">
        <f t="shared" si="17"/>
        <v>3</v>
      </c>
      <c r="BN9">
        <f t="shared" si="17"/>
        <v>3</v>
      </c>
      <c r="BO9">
        <f t="shared" si="17"/>
        <v>3</v>
      </c>
      <c r="BP9">
        <f t="shared" si="17"/>
        <v>3</v>
      </c>
      <c r="BU9">
        <f t="shared" ref="BU9:BZ9" si="18">SUM(BU5:BU8)</f>
        <v>23</v>
      </c>
      <c r="BV9">
        <f t="shared" si="18"/>
        <v>23</v>
      </c>
      <c r="BW9">
        <f t="shared" si="18"/>
        <v>23</v>
      </c>
      <c r="BX9">
        <f t="shared" si="18"/>
        <v>23</v>
      </c>
      <c r="BY9">
        <f t="shared" si="18"/>
        <v>23</v>
      </c>
      <c r="BZ9">
        <f t="shared" si="18"/>
        <v>23</v>
      </c>
      <c r="CD9" s="61"/>
      <c r="CE9" s="60">
        <f t="shared" ref="CE9:CJ9" si="19">SUM(CE5:CE8)</f>
        <v>5</v>
      </c>
      <c r="CF9">
        <f t="shared" si="19"/>
        <v>5</v>
      </c>
      <c r="CG9">
        <f t="shared" si="19"/>
        <v>5</v>
      </c>
      <c r="CH9">
        <f t="shared" si="19"/>
        <v>5</v>
      </c>
      <c r="CI9">
        <f t="shared" si="19"/>
        <v>5</v>
      </c>
      <c r="CJ9">
        <f t="shared" si="19"/>
        <v>5</v>
      </c>
      <c r="CO9">
        <f t="shared" ref="CO9:CT9" si="20">SUM(CO5:CO8)</f>
        <v>23</v>
      </c>
      <c r="CP9">
        <f t="shared" si="20"/>
        <v>23</v>
      </c>
      <c r="CQ9">
        <f t="shared" si="20"/>
        <v>23</v>
      </c>
      <c r="CR9">
        <f t="shared" si="20"/>
        <v>23</v>
      </c>
      <c r="CS9">
        <f t="shared" si="20"/>
        <v>23</v>
      </c>
      <c r="CT9">
        <f t="shared" si="20"/>
        <v>23</v>
      </c>
      <c r="CX9" s="61"/>
      <c r="CY9" s="60">
        <f t="shared" ref="CY9:DD9" si="21">SUM(CY5:CY8)</f>
        <v>4</v>
      </c>
      <c r="CZ9">
        <f t="shared" si="21"/>
        <v>4</v>
      </c>
      <c r="DA9">
        <f t="shared" si="21"/>
        <v>4</v>
      </c>
      <c r="DB9">
        <f t="shared" si="21"/>
        <v>4</v>
      </c>
      <c r="DC9">
        <f t="shared" si="21"/>
        <v>4</v>
      </c>
      <c r="DD9">
        <f t="shared" si="21"/>
        <v>4</v>
      </c>
      <c r="DI9">
        <f t="shared" ref="DI9:DN9" si="22">SUM(DI5:DI8)</f>
        <v>43</v>
      </c>
      <c r="DJ9">
        <f t="shared" si="22"/>
        <v>43</v>
      </c>
      <c r="DK9">
        <f t="shared" si="22"/>
        <v>43</v>
      </c>
      <c r="DL9">
        <f t="shared" si="22"/>
        <v>43</v>
      </c>
      <c r="DM9">
        <f t="shared" si="22"/>
        <v>43</v>
      </c>
      <c r="DN9">
        <f t="shared" si="22"/>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3">+M12</f>
        <v>1</v>
      </c>
      <c r="O12">
        <f t="shared" si="23"/>
        <v>1</v>
      </c>
      <c r="P12">
        <f t="shared" si="23"/>
        <v>1</v>
      </c>
      <c r="Q12">
        <f t="shared" si="23"/>
        <v>1</v>
      </c>
      <c r="R12">
        <f t="shared" si="23"/>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v>1</v>
      </c>
      <c r="BW12">
        <v>2</v>
      </c>
      <c r="BX12">
        <v>1</v>
      </c>
      <c r="BY12">
        <v>2</v>
      </c>
      <c r="BZ12">
        <v>1</v>
      </c>
      <c r="CD12" s="59">
        <f>SUM(BU12:CC12)</f>
        <v>9</v>
      </c>
      <c r="CE12" s="60"/>
      <c r="CX12" s="59">
        <f>SUM(CO12:CW12)</f>
        <v>0</v>
      </c>
      <c r="CY12" s="60"/>
      <c r="DI12">
        <v>2</v>
      </c>
      <c r="DJ12">
        <v>1</v>
      </c>
      <c r="DK12">
        <v>2</v>
      </c>
      <c r="DL12">
        <v>1</v>
      </c>
      <c r="DM12">
        <v>2</v>
      </c>
      <c r="DN12">
        <v>1</v>
      </c>
      <c r="DR12" s="59">
        <f>SUM(DI12:DQ12)</f>
        <v>9</v>
      </c>
    </row>
    <row r="13" spans="1:122" x14ac:dyDescent="0.25">
      <c r="A13">
        <v>2</v>
      </c>
      <c r="B13" s="33" t="str">
        <f>+B6</f>
        <v>BC Phönix Lauf</v>
      </c>
      <c r="C13" s="60"/>
      <c r="M13">
        <v>2</v>
      </c>
      <c r="N13">
        <f t="shared" si="23"/>
        <v>2</v>
      </c>
      <c r="O13">
        <f>+N13</f>
        <v>2</v>
      </c>
      <c r="P13">
        <f t="shared" si="23"/>
        <v>2</v>
      </c>
      <c r="Q13">
        <f t="shared" si="23"/>
        <v>2</v>
      </c>
      <c r="R13">
        <f t="shared" si="23"/>
        <v>2</v>
      </c>
      <c r="V13" s="59">
        <f>SUM(M13:U13)</f>
        <v>12</v>
      </c>
      <c r="W13" s="60"/>
      <c r="AP13" s="59">
        <f>SUM(AG13:AO13)</f>
        <v>0</v>
      </c>
      <c r="AQ13" s="60"/>
      <c r="BJ13" s="59">
        <f>SUM(BA13:BI13)</f>
        <v>0</v>
      </c>
      <c r="BK13" s="60"/>
      <c r="BU13">
        <v>1</v>
      </c>
      <c r="BV13">
        <v>2</v>
      </c>
      <c r="BW13">
        <v>1</v>
      </c>
      <c r="BX13">
        <v>2</v>
      </c>
      <c r="BY13">
        <v>1</v>
      </c>
      <c r="BZ13">
        <v>2</v>
      </c>
      <c r="CD13" s="59">
        <f>SUM(BU13:CC13)</f>
        <v>9</v>
      </c>
      <c r="CE13" s="60"/>
      <c r="CO13">
        <v>2</v>
      </c>
      <c r="CP13">
        <v>1</v>
      </c>
      <c r="CQ13">
        <v>2</v>
      </c>
      <c r="CR13">
        <v>1</v>
      </c>
      <c r="CS13">
        <v>2</v>
      </c>
      <c r="CT13">
        <v>1</v>
      </c>
      <c r="CX13" s="59">
        <f>SUM(CO13:CW13)</f>
        <v>9</v>
      </c>
      <c r="CY13" s="60"/>
      <c r="DR13" s="59">
        <f>SUM(DI13:DQ13)</f>
        <v>0</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v>2</v>
      </c>
      <c r="CQ14">
        <v>1</v>
      </c>
      <c r="CR14">
        <v>2</v>
      </c>
      <c r="CS14">
        <v>1</v>
      </c>
      <c r="CT14">
        <v>2</v>
      </c>
      <c r="CX14" s="59">
        <f>SUM(CO14:CW14)</f>
        <v>9</v>
      </c>
      <c r="CY14" s="60"/>
      <c r="DI14">
        <v>1</v>
      </c>
      <c r="DJ14">
        <v>2</v>
      </c>
      <c r="DK14">
        <v>1</v>
      </c>
      <c r="DL14">
        <v>2</v>
      </c>
      <c r="DM14">
        <v>1</v>
      </c>
      <c r="DN14">
        <v>2</v>
      </c>
      <c r="DR14" s="59">
        <f>SUM(DI14:DQ14)</f>
        <v>9</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4">SUM(M12:M15)</f>
        <v>3</v>
      </c>
      <c r="N16" s="63">
        <f t="shared" si="24"/>
        <v>3</v>
      </c>
      <c r="O16" s="63">
        <f t="shared" si="24"/>
        <v>3</v>
      </c>
      <c r="P16" s="63">
        <f t="shared" si="24"/>
        <v>3</v>
      </c>
      <c r="Q16" s="63">
        <f t="shared" si="24"/>
        <v>3</v>
      </c>
      <c r="R16" s="63">
        <f t="shared" si="24"/>
        <v>3</v>
      </c>
      <c r="S16" s="63"/>
      <c r="T16" s="63"/>
      <c r="U16" s="63"/>
      <c r="V16" s="65">
        <f>SUM(M16:U16)</f>
        <v>18</v>
      </c>
      <c r="W16" s="62"/>
      <c r="X16" s="63"/>
      <c r="Y16" s="63"/>
      <c r="Z16" s="63"/>
      <c r="AA16" s="63"/>
      <c r="AB16" s="63"/>
      <c r="AC16" s="63"/>
      <c r="AD16" s="63"/>
      <c r="AE16" s="63"/>
      <c r="AF16" s="64"/>
      <c r="AG16" s="63">
        <f t="shared" ref="AG16:AL16" si="25">SUM(AG12:AG15)</f>
        <v>3</v>
      </c>
      <c r="AH16" s="63">
        <f t="shared" si="25"/>
        <v>3</v>
      </c>
      <c r="AI16" s="63">
        <f t="shared" si="25"/>
        <v>3</v>
      </c>
      <c r="AJ16" s="63">
        <f t="shared" si="25"/>
        <v>3</v>
      </c>
      <c r="AK16" s="63">
        <f t="shared" si="25"/>
        <v>3</v>
      </c>
      <c r="AL16" s="63">
        <f t="shared" si="25"/>
        <v>3</v>
      </c>
      <c r="AM16" s="63"/>
      <c r="AN16" s="63"/>
      <c r="AO16" s="63"/>
      <c r="AP16" s="65">
        <f>SUM(AG16:AO16)</f>
        <v>18</v>
      </c>
      <c r="AQ16" s="62"/>
      <c r="AR16" s="63"/>
      <c r="AS16" s="63"/>
      <c r="AT16" s="63"/>
      <c r="AU16" s="63"/>
      <c r="AV16" s="63"/>
      <c r="AW16" s="63"/>
      <c r="AX16" s="63"/>
      <c r="AY16" s="63"/>
      <c r="AZ16" s="64"/>
      <c r="BA16" s="63">
        <f t="shared" ref="BA16:BF16" si="26">SUM(BA12:BA15)</f>
        <v>3</v>
      </c>
      <c r="BB16" s="63">
        <f t="shared" si="26"/>
        <v>3</v>
      </c>
      <c r="BC16" s="63">
        <f t="shared" si="26"/>
        <v>3</v>
      </c>
      <c r="BD16" s="63">
        <f t="shared" si="26"/>
        <v>3</v>
      </c>
      <c r="BE16" s="63">
        <f t="shared" si="26"/>
        <v>3</v>
      </c>
      <c r="BF16" s="63">
        <f t="shared" si="26"/>
        <v>3</v>
      </c>
      <c r="BG16" s="63"/>
      <c r="BH16" s="63"/>
      <c r="BI16" s="63"/>
      <c r="BJ16" s="65">
        <f>SUM(BA16:BI16)</f>
        <v>18</v>
      </c>
      <c r="BK16" s="62"/>
      <c r="BL16" s="63"/>
      <c r="BM16" s="63"/>
      <c r="BN16" s="63"/>
      <c r="BO16" s="63"/>
      <c r="BP16" s="63"/>
      <c r="BQ16" s="63"/>
      <c r="BR16" s="63"/>
      <c r="BS16" s="63"/>
      <c r="BT16" s="64"/>
      <c r="BU16" s="63">
        <f t="shared" ref="BU16:BZ16" si="27">SUM(BU12:BU15)</f>
        <v>3</v>
      </c>
      <c r="BV16" s="63">
        <f t="shared" si="27"/>
        <v>3</v>
      </c>
      <c r="BW16" s="63">
        <f t="shared" si="27"/>
        <v>3</v>
      </c>
      <c r="BX16" s="63">
        <f t="shared" si="27"/>
        <v>3</v>
      </c>
      <c r="BY16" s="63">
        <f t="shared" si="27"/>
        <v>3</v>
      </c>
      <c r="BZ16" s="63">
        <f t="shared" si="27"/>
        <v>3</v>
      </c>
      <c r="CA16" s="63"/>
      <c r="CB16" s="63"/>
      <c r="CC16" s="63"/>
      <c r="CD16" s="65">
        <f>SUM(BU16:CC16)</f>
        <v>18</v>
      </c>
      <c r="CE16" s="62"/>
      <c r="CF16" s="63"/>
      <c r="CG16" s="63"/>
      <c r="CH16" s="63"/>
      <c r="CI16" s="63"/>
      <c r="CJ16" s="63"/>
      <c r="CK16" s="63"/>
      <c r="CL16" s="63"/>
      <c r="CM16" s="63"/>
      <c r="CN16" s="64"/>
      <c r="CO16" s="63">
        <f t="shared" ref="CO16:CT16" si="28">SUM(CO12:CO15)</f>
        <v>3</v>
      </c>
      <c r="CP16" s="63">
        <f t="shared" si="28"/>
        <v>3</v>
      </c>
      <c r="CQ16" s="63">
        <f t="shared" si="28"/>
        <v>3</v>
      </c>
      <c r="CR16" s="63">
        <f t="shared" si="28"/>
        <v>3</v>
      </c>
      <c r="CS16" s="63">
        <f t="shared" si="28"/>
        <v>3</v>
      </c>
      <c r="CT16" s="63">
        <f t="shared" si="28"/>
        <v>3</v>
      </c>
      <c r="CU16" s="63"/>
      <c r="CV16" s="63"/>
      <c r="CW16" s="63"/>
      <c r="CX16" s="65">
        <f>SUM(CO16:CW16)</f>
        <v>18</v>
      </c>
      <c r="CY16" s="62"/>
      <c r="CZ16" s="63"/>
      <c r="DA16" s="63"/>
      <c r="DB16" s="63"/>
      <c r="DC16" s="63"/>
      <c r="DD16" s="63"/>
      <c r="DE16" s="63"/>
      <c r="DF16" s="63"/>
      <c r="DG16" s="63"/>
      <c r="DH16" s="64"/>
      <c r="DI16" s="63">
        <f t="shared" ref="DI16:DN16" si="29">SUM(DI12:DI15)</f>
        <v>3</v>
      </c>
      <c r="DJ16" s="63">
        <f t="shared" si="29"/>
        <v>3</v>
      </c>
      <c r="DK16" s="63">
        <f t="shared" si="29"/>
        <v>3</v>
      </c>
      <c r="DL16" s="63">
        <f t="shared" si="29"/>
        <v>3</v>
      </c>
      <c r="DM16" s="63">
        <f t="shared" si="29"/>
        <v>3</v>
      </c>
      <c r="DN16" s="63">
        <f t="shared" si="29"/>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CY1:DH1"/>
    <mergeCell ref="DI1:DR1"/>
    <mergeCell ref="CY2:DH2"/>
    <mergeCell ref="DI2:DN2"/>
    <mergeCell ref="CY3:DH3"/>
    <mergeCell ref="DI3:DP3"/>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BK1:BT1"/>
    <mergeCell ref="BU1:CD1"/>
    <mergeCell ref="AQ2:AZ2"/>
    <mergeCell ref="BK2:BT2"/>
    <mergeCell ref="W1:AF1"/>
    <mergeCell ref="AG1:AP1"/>
    <mergeCell ref="W2:AF2"/>
    <mergeCell ref="W3:AF3"/>
    <mergeCell ref="AG3:AN3"/>
    <mergeCell ref="C1:L1"/>
    <mergeCell ref="C2:L2"/>
    <mergeCell ref="C3:L3"/>
    <mergeCell ref="M3:T3"/>
    <mergeCell ref="M1:V1"/>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25" sqref="C25"/>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0" t="str">
        <f>Schlüssel!C1&amp;"     -     Saison "&amp;Spielorte!C18</f>
        <v>Landesliga Nord Frauen     -     Saison 2024/2025</v>
      </c>
      <c r="B1" s="320"/>
      <c r="C1" s="320"/>
      <c r="D1" s="320"/>
      <c r="E1" s="320"/>
      <c r="F1" s="320"/>
      <c r="G1" s="320"/>
      <c r="H1" s="320"/>
      <c r="I1" s="320"/>
      <c r="J1" s="320"/>
      <c r="L1" s="211"/>
    </row>
    <row r="2" spans="1:12" s="51" customFormat="1" x14ac:dyDescent="0.25">
      <c r="A2" s="33"/>
      <c r="D2" s="33"/>
      <c r="E2" s="33"/>
      <c r="F2" s="33"/>
      <c r="G2" s="33"/>
      <c r="H2" s="33"/>
      <c r="I2" s="33"/>
      <c r="L2" s="210"/>
    </row>
    <row r="3" spans="1:12" s="148" customFormat="1" ht="13.8" x14ac:dyDescent="0.25">
      <c r="A3" s="319" t="s">
        <v>1855</v>
      </c>
      <c r="B3" s="319"/>
      <c r="C3" s="321" t="s">
        <v>2528</v>
      </c>
      <c r="D3" s="321"/>
      <c r="E3" s="321"/>
      <c r="F3" s="321"/>
      <c r="G3" s="321"/>
      <c r="H3" s="321"/>
      <c r="I3" s="321"/>
      <c r="J3" s="321"/>
      <c r="L3" s="212"/>
    </row>
    <row r="4" spans="1:12" s="148" customFormat="1" ht="13.8" x14ac:dyDescent="0.25">
      <c r="A4" s="319" t="s">
        <v>2066</v>
      </c>
      <c r="B4" s="319"/>
      <c r="C4" s="321" t="s">
        <v>2529</v>
      </c>
      <c r="D4" s="321"/>
      <c r="E4" s="321"/>
      <c r="F4" s="321"/>
      <c r="G4" s="321"/>
      <c r="H4" s="321"/>
      <c r="I4" s="321"/>
      <c r="J4" s="321"/>
      <c r="L4" s="212"/>
    </row>
    <row r="5" spans="1:12" s="51" customFormat="1" x14ac:dyDescent="0.25">
      <c r="A5" s="33"/>
      <c r="D5" s="33"/>
      <c r="E5" s="33"/>
      <c r="F5" s="33"/>
      <c r="G5" s="33"/>
      <c r="H5" s="33"/>
      <c r="I5" s="33"/>
      <c r="L5" s="210"/>
    </row>
    <row r="6" spans="1:12" s="209" customFormat="1" ht="13.8" x14ac:dyDescent="0.25">
      <c r="A6" s="318" t="s">
        <v>2065</v>
      </c>
      <c r="B6" s="318"/>
      <c r="C6" s="207">
        <v>1</v>
      </c>
      <c r="D6" s="208"/>
      <c r="E6" s="208"/>
      <c r="F6" s="208"/>
      <c r="G6" s="208"/>
      <c r="H6" s="208"/>
      <c r="I6" s="208"/>
      <c r="K6" s="317" t="s">
        <v>2055</v>
      </c>
      <c r="L6" s="317"/>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t="str">
        <f>IFERROR(INDEX(Starter!B:B,MATCH(A10,Starter!A:A,0)),"")</f>
        <v/>
      </c>
      <c r="C10" t="str">
        <f>IFERROR(INDEX(Starter!C:C,MATCH(A10,Starter!A:A,0)),"")</f>
        <v/>
      </c>
      <c r="K10" s="33" t="s">
        <v>45</v>
      </c>
      <c r="L10" s="104" t="s">
        <v>2062</v>
      </c>
    </row>
    <row r="11" spans="1:12" x14ac:dyDescent="0.25">
      <c r="B11" t="str">
        <f>IFERROR(INDEX(Starter!B:B,MATCH(A11,Starter!A:A,0)),"")</f>
        <v/>
      </c>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+Spielzettel1!M2</f>
        <v>1</v>
      </c>
      <c r="F6" s="325"/>
      <c r="P6" s="128" t="s">
        <v>1821</v>
      </c>
      <c r="Q6" s="326" t="str">
        <f>+Spielzettel1!L1</f>
        <v>29.09.</v>
      </c>
      <c r="R6" s="327">
        <v>0</v>
      </c>
      <c r="S6" s="327">
        <v>0</v>
      </c>
      <c r="T6" s="328">
        <v>0</v>
      </c>
      <c r="U6" s="61"/>
    </row>
    <row r="7" spans="2:21" x14ac:dyDescent="0.25">
      <c r="B7" s="60"/>
      <c r="C7" s="128"/>
      <c r="D7" s="128"/>
      <c r="U7" s="61"/>
    </row>
    <row r="8" spans="2:21" x14ac:dyDescent="0.25">
      <c r="B8" s="60"/>
      <c r="C8" s="128" t="s">
        <v>1822</v>
      </c>
      <c r="D8" s="128"/>
      <c r="E8" s="329" t="str">
        <f>+Spielzettel1!D2</f>
        <v>Nürnberg West Bowling</v>
      </c>
      <c r="F8" s="330"/>
      <c r="G8" s="330"/>
      <c r="H8" s="330">
        <v>0</v>
      </c>
      <c r="I8" s="330"/>
      <c r="J8" s="331"/>
      <c r="N8" s="128" t="s">
        <v>1823</v>
      </c>
      <c r="P8" s="329" t="str">
        <f>+Spielzettel1!D1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t="s">
        <v>2531</v>
      </c>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1" t="s">
        <v>2532</v>
      </c>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1" t="s">
        <v>2533</v>
      </c>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formatCells="0" formatColumns="0" formatRows="0"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Schlüssel!$M$1</f>
        <v>29.09.</v>
      </c>
      <c r="M1" s="353"/>
      <c r="N1" s="353"/>
      <c r="O1" s="353"/>
      <c r="P1" s="353"/>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VLOOKUP(B2,Schlüssel!$A$5:$K$10,3)</f>
        <v>2</v>
      </c>
      <c r="E22" s="363"/>
      <c r="F22" s="363">
        <f>VLOOKUP(B2,Schlüssel!$A$5:$K$10,4)</f>
        <v>2</v>
      </c>
      <c r="G22" s="363"/>
      <c r="H22" s="363">
        <f>VLOOKUP(B2,Schlüssel!$A$5:$K$10,5)</f>
        <v>2</v>
      </c>
      <c r="I22" s="363"/>
      <c r="J22" s="363">
        <f>VLOOKUP(B2,Schlüssel!$A$5:$K$10,6)</f>
        <v>2</v>
      </c>
      <c r="K22" s="363"/>
      <c r="L22" s="363">
        <f>VLOOKUP(B2,Schlüssel!$A$5:$K$10,7)</f>
        <v>2</v>
      </c>
      <c r="M22" s="363"/>
      <c r="N22" s="363">
        <f>VLOOKUP(B2,Schlüssel!$A$5:$K$10,8)</f>
        <v>2</v>
      </c>
      <c r="O22" s="363"/>
      <c r="P22" s="364"/>
      <c r="Q22" s="364"/>
    </row>
    <row r="23" spans="1:31" ht="28.5" customHeight="1" x14ac:dyDescent="0.25">
      <c r="B23" s="4"/>
      <c r="C23" s="1"/>
      <c r="D23" s="360" t="str">
        <f>VLOOKUP(D22,Schlüssel!$A$5:$K$10,2)</f>
        <v>BC Phönix Lauf</v>
      </c>
      <c r="E23" s="361"/>
      <c r="F23" s="360" t="str">
        <f>VLOOKUP(F22,Schlüssel!$A$5:$K$10,2)</f>
        <v>BC Phönix Lauf</v>
      </c>
      <c r="G23" s="361"/>
      <c r="H23" s="360" t="str">
        <f>VLOOKUP(H22,Schlüssel!$A$5:$K$10,2)</f>
        <v>BC Phönix Lauf</v>
      </c>
      <c r="I23" s="361"/>
      <c r="J23" s="360" t="str">
        <f>VLOOKUP(J22,Schlüssel!$A$5:$K$10,2)</f>
        <v>BC Phönix Lauf</v>
      </c>
      <c r="K23" s="361"/>
      <c r="L23" s="360" t="str">
        <f>VLOOKUP(L22,Schlüssel!$A$5:$K$10,2)</f>
        <v>BC Phönix Lauf</v>
      </c>
      <c r="M23" s="361"/>
      <c r="N23" s="360" t="str">
        <f>VLOOKUP(N22,Schlüssel!$A$5:$K$10,2)</f>
        <v>BC Phönix Lauf</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Schlüssel!$M$1</f>
        <v>29.09.</v>
      </c>
      <c r="M30" s="353"/>
      <c r="N30" s="353"/>
      <c r="O30" s="353"/>
      <c r="P30" s="353"/>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VLOOKUP(B31,Schlüssel!$A$5:$K$10,3)</f>
        <v>1</v>
      </c>
      <c r="E51" s="363"/>
      <c r="F51" s="363">
        <f>VLOOKUP(B31,Schlüssel!$A$5:$K$10,4)</f>
        <v>1</v>
      </c>
      <c r="G51" s="363"/>
      <c r="H51" s="363">
        <f>VLOOKUP(B31,Schlüssel!$A$5:$K$10,5)</f>
        <v>1</v>
      </c>
      <c r="I51" s="363"/>
      <c r="J51" s="363">
        <f>VLOOKUP(B31,Schlüssel!$A$5:$K$10,6)</f>
        <v>1</v>
      </c>
      <c r="K51" s="363"/>
      <c r="L51" s="363">
        <f>VLOOKUP(B31,Schlüssel!$A$5:$K$10,7)</f>
        <v>1</v>
      </c>
      <c r="M51" s="363"/>
      <c r="N51" s="363">
        <f>VLOOKUP(B31,Schlüssel!$A$5:$K$10,8)</f>
        <v>1</v>
      </c>
      <c r="O51" s="363"/>
      <c r="P51" s="364"/>
      <c r="Q51" s="364"/>
    </row>
    <row r="52" spans="1:31" ht="28.5" customHeight="1" x14ac:dyDescent="0.25">
      <c r="B52" s="4"/>
      <c r="C52" s="1"/>
      <c r="D52" s="360" t="str">
        <f>VLOOKUP(D51,Schlüssel!$A$5:$K$10,2)</f>
        <v>Kleeblatt Fürth</v>
      </c>
      <c r="E52" s="361"/>
      <c r="F52" s="360" t="str">
        <f>VLOOKUP(F51,Schlüssel!$A$5:$K$10,2)</f>
        <v>Kleeblatt Fürth</v>
      </c>
      <c r="G52" s="361"/>
      <c r="H52" s="360" t="str">
        <f>VLOOKUP(H51,Schlüssel!$A$5:$K$10,2)</f>
        <v>Kleeblatt Fürth</v>
      </c>
      <c r="I52" s="361"/>
      <c r="J52" s="360" t="str">
        <f>VLOOKUP(J51,Schlüssel!$A$5:$K$10,2)</f>
        <v>Kleeblatt Fürth</v>
      </c>
      <c r="K52" s="361"/>
      <c r="L52" s="360" t="str">
        <f>VLOOKUP(L51,Schlüssel!$A$5:$K$10,2)</f>
        <v>Kleeblatt Fürth</v>
      </c>
      <c r="M52" s="361"/>
      <c r="N52" s="360" t="str">
        <f>VLOOKUP(N51,Schlüssel!$A$5:$K$10,2)</f>
        <v>Kleeblatt Fürth</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Schlüssel!$M$1</f>
        <v>29.09.</v>
      </c>
      <c r="M59" s="353"/>
      <c r="N59" s="353"/>
      <c r="O59" s="353"/>
      <c r="P59" s="353"/>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VLOOKUP(B60,Schlüssel!$A$5:$K$10,3)</f>
        <v>0</v>
      </c>
      <c r="E80" s="363"/>
      <c r="F80" s="363">
        <f>VLOOKUP(B60,Schlüssel!$A$5:$K$10,4)</f>
        <v>0</v>
      </c>
      <c r="G80" s="363"/>
      <c r="H80" s="363">
        <f>VLOOKUP(B60,Schlüssel!$A$5:$K$10,5)</f>
        <v>0</v>
      </c>
      <c r="I80" s="363"/>
      <c r="J80" s="363">
        <f>VLOOKUP(B60,Schlüssel!$A$5:$K$10,6)</f>
        <v>0</v>
      </c>
      <c r="K80" s="363"/>
      <c r="L80" s="363">
        <f>VLOOKUP(B60,Schlüssel!$A$5:$K$10,7)</f>
        <v>0</v>
      </c>
      <c r="M80" s="363"/>
      <c r="N80" s="363">
        <f>VLOOKUP(B60,Schlüssel!$A$5:$K$10,8)</f>
        <v>0</v>
      </c>
      <c r="O80" s="363"/>
      <c r="P80" s="364"/>
      <c r="Q80" s="364"/>
    </row>
    <row r="81" spans="2:17" ht="28.5" customHeight="1" x14ac:dyDescent="0.25">
      <c r="B81" s="4"/>
      <c r="C81" s="1"/>
      <c r="D81" s="360" t="e">
        <f>VLOOKUP(D80,Schlüssel!$A$5:$K$10,2)</f>
        <v>#N/A</v>
      </c>
      <c r="E81" s="361"/>
      <c r="F81" s="360" t="e">
        <f>VLOOKUP(F80,Schlüssel!$A$5:$K$10,2)</f>
        <v>#N/A</v>
      </c>
      <c r="G81" s="361"/>
      <c r="H81" s="360" t="e">
        <f>VLOOKUP(H80,Schlüssel!$A$5:$K$10,2)</f>
        <v>#N/A</v>
      </c>
      <c r="I81" s="361"/>
      <c r="J81" s="360" t="e">
        <f>VLOOKUP(J80,Schlüssel!$A$5:$K$10,2)</f>
        <v>#N/A</v>
      </c>
      <c r="K81" s="361"/>
      <c r="L81" s="360" t="e">
        <f>VLOOKUP(L80,Schlüssel!$A$5:$K$10,2)</f>
        <v>#N/A</v>
      </c>
      <c r="M81" s="361"/>
      <c r="N81" s="360" t="e">
        <f>VLOOKUP(N80,Schlüssel!$A$5:$K$10,2)</f>
        <v>#N/A</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F28:G28"/>
    <mergeCell ref="H28:I28"/>
    <mergeCell ref="J28:K28"/>
    <mergeCell ref="L28:M28"/>
    <mergeCell ref="D25:E25"/>
    <mergeCell ref="F25:G25"/>
    <mergeCell ref="H25:I25"/>
    <mergeCell ref="J25:K25"/>
    <mergeCell ref="L25:M25"/>
    <mergeCell ref="D27:E27"/>
    <mergeCell ref="P25:Q25"/>
    <mergeCell ref="D24:E24"/>
    <mergeCell ref="F24:G24"/>
    <mergeCell ref="H24:I24"/>
    <mergeCell ref="J24:K24"/>
    <mergeCell ref="L24:M24"/>
    <mergeCell ref="P24:Q24"/>
    <mergeCell ref="N24:O24"/>
    <mergeCell ref="N25:O2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A16:A18"/>
    <mergeCell ref="E16:E18"/>
    <mergeCell ref="G16:G18"/>
    <mergeCell ref="I16:I18"/>
    <mergeCell ref="K16:K18"/>
    <mergeCell ref="M16:M18"/>
    <mergeCell ref="J5:K5"/>
    <mergeCell ref="L5:M5"/>
    <mergeCell ref="M13:M15"/>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P5:Q5"/>
    <mergeCell ref="A7:A9"/>
    <mergeCell ref="E7:E9"/>
    <mergeCell ref="G7:G9"/>
    <mergeCell ref="I7:I9"/>
    <mergeCell ref="K7:K9"/>
    <mergeCell ref="M7:M9"/>
    <mergeCell ref="D5:E5"/>
    <mergeCell ref="F5:G5"/>
    <mergeCell ref="H5:I5"/>
    <mergeCell ref="N5:O5"/>
    <mergeCell ref="O7:O9"/>
    <mergeCell ref="N26:O26"/>
    <mergeCell ref="N27:O27"/>
    <mergeCell ref="N28:O28"/>
    <mergeCell ref="N29:O29"/>
    <mergeCell ref="N34:O34"/>
    <mergeCell ref="O36:O38"/>
    <mergeCell ref="L30:P30"/>
    <mergeCell ref="L26:M26"/>
    <mergeCell ref="P26:Q26"/>
    <mergeCell ref="Q36:Q38"/>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29.09.</v>
      </c>
      <c r="N1" s="366"/>
      <c r="O1" s="366"/>
      <c r="P1" s="368"/>
      <c r="Q1" s="368"/>
      <c r="R1" s="368"/>
      <c r="S1" s="7" t="s">
        <v>1798</v>
      </c>
      <c r="T1" s="25"/>
      <c r="U1" s="30" t="s">
        <v>1782</v>
      </c>
      <c r="V1" s="76" t="str">
        <f>Schlüssel!$C$1</f>
        <v>Landesliga Nord Frauen</v>
      </c>
      <c r="X1" s="25"/>
      <c r="Y1" s="25"/>
      <c r="Z1" s="25"/>
      <c r="AA1" s="25"/>
      <c r="AC1" s="29"/>
      <c r="AD1" s="353" t="str">
        <f>Schlüssel!$M$1</f>
        <v>29.09.</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Röde, Sigrid</v>
      </c>
      <c r="C7" s="18">
        <f>IF(T7=0,"",T7)</f>
        <v>38825</v>
      </c>
      <c r="D7" s="14">
        <f>IF(U7=0,"",U7)</f>
        <v>168</v>
      </c>
      <c r="E7" s="350">
        <f>IF(V7="","",V7)</f>
        <v>1</v>
      </c>
      <c r="F7" s="14">
        <f t="shared" ref="F7:F20" si="0">IF(W7=0,"",W7)</f>
        <v>111</v>
      </c>
      <c r="G7" s="350">
        <f>IF(X7="","",X7)</f>
        <v>0</v>
      </c>
      <c r="H7" s="14">
        <f t="shared" ref="H7:H20" si="1">IF(Y7=0,"",Y7)</f>
        <v>203</v>
      </c>
      <c r="I7" s="350">
        <f>IF(Z7="","",Z7)</f>
        <v>1</v>
      </c>
      <c r="J7" s="14">
        <f t="shared" ref="J7:J20" si="2">IF(AA7=0,"",AA7)</f>
        <v>113</v>
      </c>
      <c r="K7" s="350">
        <f>IF(AB7="","",AB7)</f>
        <v>0</v>
      </c>
      <c r="L7" s="14">
        <f t="shared" ref="L7:L20" si="3">IF(AC7=0,"",AC7)</f>
        <v>179</v>
      </c>
      <c r="M7" s="350">
        <f>IF(AD7="","",AD7)</f>
        <v>1</v>
      </c>
      <c r="N7" s="14">
        <f t="shared" ref="N7:N20" si="4">IF(AG7=0,"",AG7)</f>
        <v>957</v>
      </c>
      <c r="O7" s="350">
        <f>IF(AH7="","",AH7)</f>
        <v>4</v>
      </c>
      <c r="R7" s="357"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1" t="s">
        <v>2</v>
      </c>
      <c r="B10" s="17" t="str">
        <f t="shared" si="21"/>
        <v>Herderich, Christine</v>
      </c>
      <c r="C10" s="18">
        <f t="shared" si="21"/>
        <v>7956</v>
      </c>
      <c r="D10" s="14">
        <f t="shared" si="21"/>
        <v>160</v>
      </c>
      <c r="E10" s="350">
        <f>IF(V10="","",V10)</f>
        <v>0.5</v>
      </c>
      <c r="F10" s="14">
        <f t="shared" si="0"/>
        <v>144</v>
      </c>
      <c r="G10" s="350">
        <f>IF(X10="","",X10)</f>
        <v>0</v>
      </c>
      <c r="H10" s="14">
        <f t="shared" si="1"/>
        <v>138</v>
      </c>
      <c r="I10" s="350">
        <f>IF(Z10="","",Z10)</f>
        <v>0</v>
      </c>
      <c r="J10" s="14">
        <f t="shared" si="2"/>
        <v>133</v>
      </c>
      <c r="K10" s="350">
        <f>IF(AB10="","",AB10)</f>
        <v>0</v>
      </c>
      <c r="L10" s="14">
        <f t="shared" si="3"/>
        <v>129</v>
      </c>
      <c r="M10" s="350">
        <f>IF(AD10="","",AD10)</f>
        <v>0</v>
      </c>
      <c r="N10" s="14">
        <f t="shared" si="4"/>
        <v>848</v>
      </c>
      <c r="O10" s="350">
        <f>IF(AH10="","",AH10)</f>
        <v>0.5</v>
      </c>
      <c r="R10" s="357"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1" t="s">
        <v>3</v>
      </c>
      <c r="B13" s="17" t="str">
        <f t="shared" si="21"/>
        <v>Beinlich, Gabriele</v>
      </c>
      <c r="C13" s="18">
        <f t="shared" si="21"/>
        <v>38697</v>
      </c>
      <c r="D13" s="14">
        <f t="shared" si="21"/>
        <v>133</v>
      </c>
      <c r="E13" s="350">
        <f>IF(V13="","",V13)</f>
        <v>0</v>
      </c>
      <c r="F13" s="14">
        <f t="shared" si="0"/>
        <v>205</v>
      </c>
      <c r="G13" s="350">
        <f>IF(X13="","",X13)</f>
        <v>1</v>
      </c>
      <c r="H13" s="14">
        <f t="shared" si="1"/>
        <v>139</v>
      </c>
      <c r="I13" s="350">
        <f>IF(Z13="","",Z13)</f>
        <v>1</v>
      </c>
      <c r="J13" s="14">
        <f t="shared" si="2"/>
        <v>117</v>
      </c>
      <c r="K13" s="350">
        <f>IF(AB13="","",AB13)</f>
        <v>0</v>
      </c>
      <c r="L13" s="14">
        <f t="shared" si="3"/>
        <v>127</v>
      </c>
      <c r="M13" s="350">
        <f>IF(AD13="","",AD13)</f>
        <v>0</v>
      </c>
      <c r="N13" s="14">
        <f t="shared" si="4"/>
        <v>872</v>
      </c>
      <c r="O13" s="350">
        <f>IF(AH13="","",AH13)</f>
        <v>2</v>
      </c>
      <c r="R13" s="357"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1" t="s">
        <v>11</v>
      </c>
      <c r="B16" s="17" t="str">
        <f>IF(S16=0,"",S16)</f>
        <v>Hackel, Monika</v>
      </c>
      <c r="C16" s="18">
        <f t="shared" si="21"/>
        <v>38512</v>
      </c>
      <c r="D16" s="14">
        <f t="shared" si="21"/>
        <v>157</v>
      </c>
      <c r="E16" s="350">
        <f>IF(V16="","",V16)</f>
        <v>1</v>
      </c>
      <c r="F16" s="14">
        <f t="shared" si="0"/>
        <v>151</v>
      </c>
      <c r="G16" s="350">
        <f>IF(X16="","",X16)</f>
        <v>1</v>
      </c>
      <c r="H16" s="14">
        <f t="shared" si="1"/>
        <v>179</v>
      </c>
      <c r="I16" s="350">
        <f>IF(Z16="","",Z16)</f>
        <v>1</v>
      </c>
      <c r="J16" s="14">
        <f t="shared" si="2"/>
        <v>156</v>
      </c>
      <c r="K16" s="350">
        <f>IF(AB16="","",AB16)</f>
        <v>0</v>
      </c>
      <c r="L16" s="14">
        <f t="shared" si="3"/>
        <v>167</v>
      </c>
      <c r="M16" s="350">
        <f>IF(AD16="","",AD16)</f>
        <v>1</v>
      </c>
      <c r="N16" s="14">
        <f t="shared" si="4"/>
        <v>976</v>
      </c>
      <c r="O16" s="350">
        <f>IF(AH16="","",AH16)</f>
        <v>4</v>
      </c>
      <c r="R16" s="357"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2</v>
      </c>
      <c r="E22" s="363" t="str">
        <f t="shared" si="24"/>
        <v/>
      </c>
      <c r="F22" s="363">
        <f t="shared" si="24"/>
        <v>2</v>
      </c>
      <c r="G22" s="363" t="str">
        <f t="shared" si="24"/>
        <v/>
      </c>
      <c r="H22" s="363">
        <f t="shared" si="24"/>
        <v>2</v>
      </c>
      <c r="I22" s="363" t="str">
        <f t="shared" si="24"/>
        <v/>
      </c>
      <c r="J22" s="363">
        <f t="shared" si="24"/>
        <v>2</v>
      </c>
      <c r="K22" s="363" t="str">
        <f t="shared" si="24"/>
        <v/>
      </c>
      <c r="L22" s="363">
        <f t="shared" si="24"/>
        <v>2</v>
      </c>
      <c r="M22" s="363" t="str">
        <f t="shared" si="24"/>
        <v/>
      </c>
      <c r="N22" s="364"/>
      <c r="O22" s="364"/>
      <c r="S22" s="13" t="s">
        <v>1786</v>
      </c>
      <c r="T22" s="5" t="s">
        <v>1787</v>
      </c>
      <c r="U22" s="369">
        <f>VLOOKUP($S2,Schlüssel!$A$5:$K$10,3)</f>
        <v>2</v>
      </c>
      <c r="V22" s="370"/>
      <c r="W22" s="369">
        <f>VLOOKUP($S2,Schlüssel!$A$5:$K$10,4)</f>
        <v>2</v>
      </c>
      <c r="X22" s="370"/>
      <c r="Y22" s="369">
        <f>VLOOKUP($S2,Schlüssel!$A$5:$K$10,5)</f>
        <v>2</v>
      </c>
      <c r="Z22" s="370"/>
      <c r="AA22" s="369">
        <f>VLOOKUP($S2,Schlüssel!$A$5:$K$10,6)</f>
        <v>2</v>
      </c>
      <c r="AB22" s="370"/>
      <c r="AC22" s="369">
        <f>VLOOKUP($S2,Schlüssel!$A$5:$K$10,7)</f>
        <v>2</v>
      </c>
      <c r="AD22" s="370"/>
      <c r="AE22" s="369">
        <f>VLOOKUP($S2,Schlüssel!$A$5:$K$10,8)</f>
        <v>2</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BC Phönix Lauf</v>
      </c>
      <c r="E23" s="361" t="str">
        <f t="shared" si="25"/>
        <v/>
      </c>
      <c r="F23" s="360" t="str">
        <f t="shared" si="25"/>
        <v>BC Phönix Lauf</v>
      </c>
      <c r="G23" s="361" t="str">
        <f t="shared" si="25"/>
        <v/>
      </c>
      <c r="H23" s="360" t="str">
        <f t="shared" si="25"/>
        <v>BC Phönix Lauf</v>
      </c>
      <c r="I23" s="361" t="str">
        <f t="shared" si="25"/>
        <v/>
      </c>
      <c r="J23" s="360" t="str">
        <f t="shared" si="25"/>
        <v>BC Phönix Lauf</v>
      </c>
      <c r="K23" s="361" t="str">
        <f t="shared" si="25"/>
        <v/>
      </c>
      <c r="L23" s="360" t="str">
        <f>IF(AC23=0,"",AC23)</f>
        <v>BC Phönix Lauf</v>
      </c>
      <c r="M23" s="361" t="str">
        <f>IF(AD23=0,"",AD23)</f>
        <v/>
      </c>
      <c r="N23" s="362"/>
      <c r="O23" s="362"/>
      <c r="S23" s="4"/>
      <c r="T23" s="1"/>
      <c r="U23" s="360" t="str">
        <f>VLOOKUP(U22,Schlüssel!$A$5:$K$10,2)</f>
        <v>BC Phönix Lauf</v>
      </c>
      <c r="V23" s="361"/>
      <c r="W23" s="360" t="str">
        <f>VLOOKUP(W22,Schlüssel!$A$5:$K$10,2)</f>
        <v>BC Phönix Lauf</v>
      </c>
      <c r="X23" s="361"/>
      <c r="Y23" s="360" t="str">
        <f>VLOOKUP(Y22,Schlüssel!$A$5:$K$10,2)</f>
        <v>BC Phönix Lauf</v>
      </c>
      <c r="Z23" s="361"/>
      <c r="AA23" s="360" t="str">
        <f>VLOOKUP(AA22,Schlüssel!$A$5:$K$10,2)</f>
        <v>BC Phönix Lauf</v>
      </c>
      <c r="AB23" s="361"/>
      <c r="AC23" s="360" t="str">
        <f>VLOOKUP(AC22,Schlüssel!$A$5:$K$10,2)</f>
        <v>BC Phönix Lauf</v>
      </c>
      <c r="AD23" s="361"/>
      <c r="AE23" s="360" t="str">
        <f>VLOOKUP(AE22,Schlüssel!$A$5:$K$10,2)</f>
        <v>BC Phönix Lauf</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161</v>
      </c>
      <c r="E25" s="346" t="str">
        <f>IF(V25=0,"",V25)</f>
        <v/>
      </c>
      <c r="F25" s="346">
        <f>IF(W25=301,"",W25)</f>
        <v>153</v>
      </c>
      <c r="G25" s="346" t="str">
        <f>IF(X25=0,"",X25)</f>
        <v/>
      </c>
      <c r="H25" s="346">
        <f>IF(Y25=301,"",Y25)</f>
        <v>180</v>
      </c>
      <c r="I25" s="346" t="str">
        <f>IF(Z25=0,"",Z25)</f>
        <v/>
      </c>
      <c r="J25" s="346">
        <f>IF(AA25=301,"",AA25)</f>
        <v>145</v>
      </c>
      <c r="K25" s="346" t="str">
        <f>IF(AB25=0,"",AB25)</f>
        <v/>
      </c>
      <c r="L25" s="346">
        <f>IF(AC25=301,"",AC25)</f>
        <v>140</v>
      </c>
      <c r="M25" s="346" t="str">
        <f>IF(AD25=0,"",AD25)</f>
        <v/>
      </c>
      <c r="N25" s="354"/>
      <c r="O25" s="354"/>
      <c r="S25" s="35" t="s">
        <v>0</v>
      </c>
      <c r="T25" s="36"/>
      <c r="U25" s="374">
        <f>ABS(INDEX(U:U,MATCH(U22,$S:$S,0)+5)+INDEX(U:U,MATCH(U22,$S:$S,0)+6)+INDEX(U:U,MATCH(U22,$S:$S,0)+7))</f>
        <v>161</v>
      </c>
      <c r="V25" s="375"/>
      <c r="W25" s="374">
        <f>ABS(INDEX(W:W,MATCH(W22,$S:$S,0)+5)+INDEX(W:W,MATCH(W22,$S:$S,0)+6)+INDEX(W:W,MATCH(W22,$S:$S,0)+7))</f>
        <v>153</v>
      </c>
      <c r="X25" s="375"/>
      <c r="Y25" s="374">
        <f>ABS(INDEX(Y:Y,MATCH(Y22,$S:$S,0)+5)+INDEX(Y:Y,MATCH(Y22,$S:$S,0)+6)+INDEX(Y:Y,MATCH(Y22,$S:$S,0)+7))</f>
        <v>180</v>
      </c>
      <c r="Z25" s="375"/>
      <c r="AA25" s="374">
        <f>ABS(INDEX(AA:AA,MATCH(AA22,$S:$S,0)+5)+INDEX(AA:AA,MATCH(AA22,$S:$S,0)+6)+INDEX(AA:AA,MATCH(AA22,$S:$S,0)+7))</f>
        <v>145</v>
      </c>
      <c r="AB25" s="375"/>
      <c r="AC25" s="374">
        <f>ABS(INDEX(AC:AC,MATCH(AC22,$S:$S,0)+5)+INDEX(AC:AC,MATCH(AC22,$S:$S,0)+6)+INDEX(AC:AC,MATCH(AC22,$S:$S,0)+7))</f>
        <v>140</v>
      </c>
      <c r="AD25" s="375"/>
      <c r="AE25" s="374">
        <f>ABS(INDEX(AE:AE,MATCH(AE22,$S:$S,0)+5)+INDEX(AE:AE,MATCH(AE22,$S:$S,0)+6)+INDEX(AE:AE,MATCH(AE22,$S:$S,0)+7))</f>
        <v>181</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160</v>
      </c>
      <c r="E26" s="346" t="str">
        <f>IF(V26=0,"",V26)</f>
        <v/>
      </c>
      <c r="F26" s="346">
        <f>IF(W26=301,"",W26)</f>
        <v>150</v>
      </c>
      <c r="G26" s="346" t="str">
        <f>IF(X26=0,"",X26)</f>
        <v/>
      </c>
      <c r="H26" s="346">
        <f>IF(Y26=301,"",Y26)</f>
        <v>195</v>
      </c>
      <c r="I26" s="346" t="str">
        <f>IF(Z26=0,"",Z26)</f>
        <v/>
      </c>
      <c r="J26" s="346">
        <f>IF(AA26=301,"",AA26)</f>
        <v>173</v>
      </c>
      <c r="K26" s="346" t="str">
        <f>IF(AB26=0,"",AB26)</f>
        <v/>
      </c>
      <c r="L26" s="346">
        <f>IF(AC26=301,"",AC26)</f>
        <v>195</v>
      </c>
      <c r="M26" s="346" t="str">
        <f>IF(AD26=0,"",AD26)</f>
        <v/>
      </c>
      <c r="N26" s="354"/>
      <c r="O26" s="354"/>
      <c r="S26" s="35" t="s">
        <v>2</v>
      </c>
      <c r="T26" s="36"/>
      <c r="U26" s="376">
        <f>ABS(INDEX(U:U,MATCH(U22,$S:$S,0)+8)+INDEX(U:U,MATCH(U22,$S:$S,0)+9)+INDEX(U:U,MATCH(U22,$S:$S,0)+10))</f>
        <v>160</v>
      </c>
      <c r="V26" s="377"/>
      <c r="W26" s="376">
        <f>ABS(INDEX(W:W,MATCH(W22,$S:$S,0)+8)+INDEX(W:W,MATCH(W22,$S:$S,0)+9)+INDEX(W:W,MATCH(W22,$S:$S,0)+10))</f>
        <v>150</v>
      </c>
      <c r="X26" s="377"/>
      <c r="Y26" s="376">
        <f>ABS(INDEX(Y:Y,MATCH(Y22,$S:$S,0)+8)+INDEX(Y:Y,MATCH(Y22,$S:$S,0)+9)+INDEX(Y:Y,MATCH(Y22,$S:$S,0)+10))</f>
        <v>195</v>
      </c>
      <c r="Z26" s="377"/>
      <c r="AA26" s="376">
        <f>ABS(INDEX(AA:AA,MATCH(AA22,$S:$S,0)+8)+INDEX(AA:AA,MATCH(AA22,$S:$S,0)+9)+INDEX(AA:AA,MATCH(AA22,$S:$S,0)+10))</f>
        <v>173</v>
      </c>
      <c r="AB26" s="377"/>
      <c r="AC26" s="376">
        <f>ABS(INDEX(AC:AC,MATCH(AC22,$S:$S,0)+8)+INDEX(AC:AC,MATCH(AC22,$S:$S,0)+9)+INDEX(AC:AC,MATCH(AC22,$S:$S,0)+10))</f>
        <v>195</v>
      </c>
      <c r="AD26" s="377"/>
      <c r="AE26" s="376">
        <f>ABS(INDEX(AE:AE,MATCH(AE22,$S:$S,0)+8)+INDEX(AE:AE,MATCH(AE22,$S:$S,0)+9)+INDEX(AE:AE,MATCH(AE22,$S:$S,0)+10))</f>
        <v>169</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174</v>
      </c>
      <c r="E27" s="346" t="str">
        <f>IF(V27=0,"",V27)</f>
        <v/>
      </c>
      <c r="F27" s="346">
        <f>IF(W27=301,"",W27)</f>
        <v>126</v>
      </c>
      <c r="G27" s="346" t="str">
        <f>IF(X27=0,"",X27)</f>
        <v/>
      </c>
      <c r="H27" s="346">
        <f>IF(Y27=301,"",Y27)</f>
        <v>135</v>
      </c>
      <c r="I27" s="346" t="str">
        <f>IF(Z27=0,"",Z27)</f>
        <v/>
      </c>
      <c r="J27" s="346">
        <f>IF(AA27=301,"",AA27)</f>
        <v>177</v>
      </c>
      <c r="K27" s="346" t="str">
        <f>IF(AB27=0,"",AB27)</f>
        <v/>
      </c>
      <c r="L27" s="346">
        <f>IF(AC27=301,"",AC27)</f>
        <v>180</v>
      </c>
      <c r="M27" s="346" t="str">
        <f>IF(AD27=0,"",AD27)</f>
        <v/>
      </c>
      <c r="N27" s="354"/>
      <c r="O27" s="354"/>
      <c r="S27" s="35" t="s">
        <v>3</v>
      </c>
      <c r="T27" s="36"/>
      <c r="U27" s="376">
        <f>ABS(INDEX(U:U,MATCH(U22,$S:$S,0)+11)+INDEX(U:U,MATCH(U22,$S:$S,0)+12)+INDEX(U:U,MATCH(U22,$S:$S,0)+13))</f>
        <v>174</v>
      </c>
      <c r="V27" s="377"/>
      <c r="W27" s="376">
        <f>ABS(INDEX(W:W,MATCH(W22,$S:$S,0)+11)+INDEX(W:W,MATCH(W22,$S:$S,0)+12)+INDEX(W:W,MATCH(W22,$S:$S,0)+13))</f>
        <v>126</v>
      </c>
      <c r="X27" s="377"/>
      <c r="Y27" s="376">
        <f>ABS(INDEX(Y:Y,MATCH(Y22,$S:$S,0)+11)+INDEX(Y:Y,MATCH(Y22,$S:$S,0)+12)+INDEX(Y:Y,MATCH(Y22,$S:$S,0)+13))</f>
        <v>135</v>
      </c>
      <c r="Z27" s="377"/>
      <c r="AA27" s="376">
        <f>ABS(INDEX(AA:AA,MATCH(AA22,$S:$S,0)+11)+INDEX(AA:AA,MATCH(AA22,$S:$S,0)+12)+INDEX(AA:AA,MATCH(AA22,$S:$S,0)+13))</f>
        <v>177</v>
      </c>
      <c r="AB27" s="377"/>
      <c r="AC27" s="376">
        <f>ABS(INDEX(AC:AC,MATCH(AC22,$S:$S,0)+11)+INDEX(AC:AC,MATCH(AC22,$S:$S,0)+12)+INDEX(AC:AC,MATCH(AC22,$S:$S,0)+13))</f>
        <v>180</v>
      </c>
      <c r="AD27" s="377"/>
      <c r="AE27" s="376">
        <f>ABS(INDEX(AE:AE,MATCH(AE22,$S:$S,0)+11)+INDEX(AE:AE,MATCH(AE22,$S:$S,0)+12)+INDEX(AE:AE,MATCH(AE22,$S:$S,0)+13))</f>
        <v>220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154</v>
      </c>
      <c r="E28" s="346" t="str">
        <f>IF(V28=0,"",V28)</f>
        <v/>
      </c>
      <c r="F28" s="346">
        <f>IF(W28=301,"",W28)</f>
        <v>137</v>
      </c>
      <c r="G28" s="346" t="str">
        <f>IF(X28=0,"",X28)</f>
        <v/>
      </c>
      <c r="H28" s="346">
        <f>IF(Y28=301,"",Y28)</f>
        <v>151</v>
      </c>
      <c r="I28" s="346" t="str">
        <f>IF(Z28=0,"",Z28)</f>
        <v/>
      </c>
      <c r="J28" s="346">
        <f>IF(AA28=301,"",AA28)</f>
        <v>190</v>
      </c>
      <c r="K28" s="346" t="str">
        <f>IF(AB28=0,"",AB28)</f>
        <v/>
      </c>
      <c r="L28" s="346">
        <f>IF(AC28=301,"",AC28)</f>
        <v>145</v>
      </c>
      <c r="M28" s="346" t="str">
        <f>IF(AD28=0,"",AD28)</f>
        <v/>
      </c>
      <c r="N28" s="354"/>
      <c r="O28" s="354"/>
      <c r="S28" s="35" t="s">
        <v>11</v>
      </c>
      <c r="T28" s="36"/>
      <c r="U28" s="376">
        <f>ABS(INDEX(U:U,MATCH(U22,$S:$S,0)+14)+INDEX(U:U,MATCH(U22,$S:$S,0)+15)+INDEX(U:U,MATCH(U22,$S:$S,0)+16))</f>
        <v>154</v>
      </c>
      <c r="V28" s="377"/>
      <c r="W28" s="376">
        <f>ABS(INDEX(W:W,MATCH(W22,$S:$S,0)+14)+INDEX(W:W,MATCH(W22,$S:$S,0)+15)+INDEX(W:W,MATCH(W22,$S:$S,0)+16))</f>
        <v>137</v>
      </c>
      <c r="X28" s="377"/>
      <c r="Y28" s="376">
        <f>ABS(INDEX(Y:Y,MATCH(Y22,$S:$S,0)+14)+INDEX(Y:Y,MATCH(Y22,$S:$S,0)+15)+INDEX(Y:Y,MATCH(Y22,$S:$S,0)+16))</f>
        <v>151</v>
      </c>
      <c r="Z28" s="377"/>
      <c r="AA28" s="376">
        <f>ABS(INDEX(AA:AA,MATCH(AA22,$S:$S,0)+14)+INDEX(AA:AA,MATCH(AA22,$S:$S,0)+15)+INDEX(AA:AA,MATCH(AA22,$S:$S,0)+16))</f>
        <v>190</v>
      </c>
      <c r="AB28" s="377"/>
      <c r="AC28" s="376">
        <f>ABS(INDEX(AC:AC,MATCH(AC22,$S:$S,0)+14)+INDEX(AC:AC,MATCH(AC22,$S:$S,0)+15)+INDEX(AC:AC,MATCH(AC22,$S:$S,0)+16))</f>
        <v>145</v>
      </c>
      <c r="AD28" s="377"/>
      <c r="AE28" s="376">
        <f>ABS(INDEX(AE:AE,MATCH(AE22,$S:$S,0)+14)+INDEX(AE:AE,MATCH(AE22,$S:$S,0)+15)+INDEX(AE:AE,MATCH(AE22,$S:$S,0)+16))</f>
        <v>177</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649</v>
      </c>
      <c r="E29" s="347" t="str">
        <f>IF(V29=0,"",V29)</f>
        <v/>
      </c>
      <c r="F29" s="347">
        <f>IF(W29=1505,"",W29)</f>
        <v>566</v>
      </c>
      <c r="G29" s="347" t="str">
        <f>IF(X29=0,"",X29)</f>
        <v/>
      </c>
      <c r="H29" s="347">
        <f>IF(Y29=1505,"",Y29)</f>
        <v>661</v>
      </c>
      <c r="I29" s="347" t="str">
        <f>IF(Z29=0,"",Z29)</f>
        <v/>
      </c>
      <c r="J29" s="347">
        <f>IF(AA29=1505,"",AA29)</f>
        <v>685</v>
      </c>
      <c r="K29" s="347" t="str">
        <f>IF(AB29=0,"",AB29)</f>
        <v/>
      </c>
      <c r="L29" s="347">
        <f>IF(AC29=1505,"",AC29)</f>
        <v>660</v>
      </c>
      <c r="M29" s="347" t="str">
        <f>IF(AD29=0,"",AD29)</f>
        <v/>
      </c>
      <c r="N29" s="300"/>
      <c r="O29" s="300"/>
      <c r="S29" s="37" t="s">
        <v>1788</v>
      </c>
      <c r="T29" s="38"/>
      <c r="U29" s="348">
        <f>SUM(U25:U28)</f>
        <v>649</v>
      </c>
      <c r="V29" s="349"/>
      <c r="W29" s="348">
        <f>SUM(W25:W28)</f>
        <v>566</v>
      </c>
      <c r="X29" s="349"/>
      <c r="Y29" s="348">
        <f>SUM(Y25:Y28)</f>
        <v>661</v>
      </c>
      <c r="Z29" s="349"/>
      <c r="AA29" s="348">
        <f>SUM(AA25:AA28)</f>
        <v>685</v>
      </c>
      <c r="AB29" s="349"/>
      <c r="AC29" s="348">
        <f>SUM(AC25:AC28)</f>
        <v>660</v>
      </c>
      <c r="AD29" s="349"/>
      <c r="AE29" s="348">
        <f>SUM(AE25:AE28)</f>
        <v>747</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29.09.</v>
      </c>
      <c r="N31" s="366"/>
      <c r="O31" s="366"/>
      <c r="P31" s="368"/>
      <c r="Q31" s="368"/>
      <c r="R31" s="368"/>
      <c r="S31" s="7" t="s">
        <v>1798</v>
      </c>
      <c r="T31" s="25"/>
      <c r="U31" s="30" t="s">
        <v>1782</v>
      </c>
      <c r="V31" s="76" t="str">
        <f>Schlüssel!$C$1</f>
        <v>Landesliga Nord Frauen</v>
      </c>
      <c r="X31" s="25"/>
      <c r="Y31" s="25"/>
      <c r="Z31" s="25"/>
      <c r="AA31" s="25"/>
      <c r="AC31" s="29"/>
      <c r="AD31" s="353" t="str">
        <f>Schlüssel!$M$1</f>
        <v>29.09.</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Schulz-Burkert, Roswitha</v>
      </c>
      <c r="C37" s="18">
        <f>IF(T37=0,"",T37)</f>
        <v>25347</v>
      </c>
      <c r="D37" s="14">
        <f>IF(U37=0,"",U37)</f>
        <v>161</v>
      </c>
      <c r="E37" s="350">
        <f>IF(V37="","",V37)</f>
        <v>0</v>
      </c>
      <c r="F37" s="14">
        <f t="shared" ref="F37:F50" si="27">IF(W37=0,"",W37)</f>
        <v>153</v>
      </c>
      <c r="G37" s="350">
        <f>IF(X37="","",X37)</f>
        <v>1</v>
      </c>
      <c r="H37" s="14">
        <f t="shared" ref="H37:H50" si="28">IF(Y37=0,"",Y37)</f>
        <v>180</v>
      </c>
      <c r="I37" s="350">
        <f>IF(Z37="","",Z37)</f>
        <v>0</v>
      </c>
      <c r="J37" s="14">
        <f t="shared" ref="J37:J50" si="29">IF(AA37=0,"",AA37)</f>
        <v>145</v>
      </c>
      <c r="K37" s="350">
        <f>IF(AB37="","",AB37)</f>
        <v>1</v>
      </c>
      <c r="L37" s="14">
        <f t="shared" ref="L37:L50" si="30">IF(AC37=0,"",AC37)</f>
        <v>140</v>
      </c>
      <c r="M37" s="350">
        <f>IF(AD37="","",AD37)</f>
        <v>0</v>
      </c>
      <c r="N37" s="14">
        <f t="shared" ref="N37:N50" si="31">IF(AG37=0,"",AG37)</f>
        <v>960</v>
      </c>
      <c r="O37" s="350">
        <f>IF(AH37="","",AH37)</f>
        <v>2</v>
      </c>
      <c r="R37" s="357"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2"/>
      <c r="B38" s="19" t="str">
        <f t="shared" ref="B38:B45" si="48">IF(S38=0,"",S38)</f>
        <v/>
      </c>
      <c r="C38" s="20" t="str">
        <f t="shared" ref="C38:C50" si="49">IF(T38=0,"",T38)</f>
        <v/>
      </c>
      <c r="D38" s="15" t="str">
        <f t="shared" ref="D38:D50" si="50">IF(U38=0,"",U38)</f>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3"/>
      <c r="B39" s="21" t="str">
        <f t="shared" si="48"/>
        <v/>
      </c>
      <c r="C39" s="22" t="str">
        <f t="shared" si="49"/>
        <v/>
      </c>
      <c r="D39" s="9" t="str">
        <f t="shared" si="50"/>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1" t="s">
        <v>2</v>
      </c>
      <c r="B40" s="17" t="str">
        <f t="shared" si="48"/>
        <v>Fischer, Marika</v>
      </c>
      <c r="C40" s="18">
        <f t="shared" si="49"/>
        <v>38401</v>
      </c>
      <c r="D40" s="14">
        <f t="shared" si="50"/>
        <v>160</v>
      </c>
      <c r="E40" s="350">
        <f>IF(V40="","",V40)</f>
        <v>0.5</v>
      </c>
      <c r="F40" s="14">
        <f t="shared" si="27"/>
        <v>150</v>
      </c>
      <c r="G40" s="350">
        <f>IF(X40="","",X40)</f>
        <v>1</v>
      </c>
      <c r="H40" s="14">
        <f t="shared" si="28"/>
        <v>195</v>
      </c>
      <c r="I40" s="350">
        <f>IF(Z40="","",Z40)</f>
        <v>1</v>
      </c>
      <c r="J40" s="14">
        <f t="shared" si="29"/>
        <v>173</v>
      </c>
      <c r="K40" s="350">
        <f>IF(AB40="","",AB40)</f>
        <v>1</v>
      </c>
      <c r="L40" s="14">
        <f t="shared" si="30"/>
        <v>195</v>
      </c>
      <c r="M40" s="350">
        <f>IF(AD40="","",AD40)</f>
        <v>1</v>
      </c>
      <c r="N40" s="14">
        <f t="shared" si="31"/>
        <v>1042</v>
      </c>
      <c r="O40" s="350">
        <f>IF(AH40="","",AH40)</f>
        <v>5.5</v>
      </c>
      <c r="R40" s="357"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2"/>
      <c r="B41" s="19" t="str">
        <f t="shared" si="48"/>
        <v/>
      </c>
      <c r="C41" s="20" t="str">
        <f t="shared" si="49"/>
        <v/>
      </c>
      <c r="D41" s="15" t="str">
        <f t="shared" si="50"/>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3"/>
      <c r="B42" s="21" t="str">
        <f t="shared" si="48"/>
        <v/>
      </c>
      <c r="C42" s="22" t="str">
        <f t="shared" si="49"/>
        <v/>
      </c>
      <c r="D42" s="9" t="str">
        <f t="shared" si="50"/>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1" t="s">
        <v>3</v>
      </c>
      <c r="B43" s="17" t="str">
        <f t="shared" si="48"/>
        <v>Cipriano, Martina</v>
      </c>
      <c r="C43" s="18">
        <f t="shared" si="49"/>
        <v>38798</v>
      </c>
      <c r="D43" s="14">
        <f t="shared" si="50"/>
        <v>174</v>
      </c>
      <c r="E43" s="350">
        <f>IF(V43="","",V43)</f>
        <v>1</v>
      </c>
      <c r="F43" s="14">
        <f t="shared" si="27"/>
        <v>126</v>
      </c>
      <c r="G43" s="350">
        <f>IF(X43="","",X43)</f>
        <v>0</v>
      </c>
      <c r="H43" s="14">
        <f t="shared" si="28"/>
        <v>135</v>
      </c>
      <c r="I43" s="350">
        <f>IF(Z43="","",Z43)</f>
        <v>0</v>
      </c>
      <c r="J43" s="14" t="str">
        <f t="shared" si="29"/>
        <v/>
      </c>
      <c r="K43" s="350">
        <f>IF(AB43="","",AB43)</f>
        <v>1</v>
      </c>
      <c r="L43" s="14" t="str">
        <f t="shared" si="30"/>
        <v/>
      </c>
      <c r="M43" s="350">
        <f>IF(AD43="","",AD43)</f>
        <v>1</v>
      </c>
      <c r="N43" s="14">
        <f t="shared" si="31"/>
        <v>435</v>
      </c>
      <c r="O43" s="350">
        <f>IF(AH43="","",AH43)</f>
        <v>4</v>
      </c>
      <c r="R43" s="357"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2"/>
      <c r="B44" s="19" t="str">
        <f t="shared" si="48"/>
        <v>Schuster, Else</v>
      </c>
      <c r="C44" s="20">
        <f t="shared" si="49"/>
        <v>7709</v>
      </c>
      <c r="D44" s="15" t="str">
        <f t="shared" si="50"/>
        <v/>
      </c>
      <c r="E44" s="351"/>
      <c r="F44" s="15" t="str">
        <f t="shared" si="27"/>
        <v/>
      </c>
      <c r="G44" s="351"/>
      <c r="H44" s="15" t="str">
        <f t="shared" si="28"/>
        <v/>
      </c>
      <c r="I44" s="351"/>
      <c r="J44" s="15">
        <f t="shared" si="29"/>
        <v>177</v>
      </c>
      <c r="K44" s="351"/>
      <c r="L44" s="15">
        <f t="shared" si="30"/>
        <v>180</v>
      </c>
      <c r="M44" s="351"/>
      <c r="N44" s="15">
        <f t="shared" si="31"/>
        <v>577</v>
      </c>
      <c r="O44" s="351"/>
      <c r="R44" s="358"/>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3"/>
      <c r="B45" s="21" t="str">
        <f t="shared" si="48"/>
        <v/>
      </c>
      <c r="C45" s="22" t="str">
        <f t="shared" si="49"/>
        <v/>
      </c>
      <c r="D45" s="9" t="str">
        <f t="shared" si="50"/>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1" t="s">
        <v>11</v>
      </c>
      <c r="B46" s="17" t="str">
        <f>IF(S46=0,"",S46)</f>
        <v>Jenke, Sandra</v>
      </c>
      <c r="C46" s="18">
        <f t="shared" si="49"/>
        <v>38607</v>
      </c>
      <c r="D46" s="14">
        <f t="shared" si="50"/>
        <v>154</v>
      </c>
      <c r="E46" s="350">
        <f>IF(V46="","",V46)</f>
        <v>0</v>
      </c>
      <c r="F46" s="14">
        <f t="shared" si="27"/>
        <v>137</v>
      </c>
      <c r="G46" s="350">
        <f>IF(X46="","",X46)</f>
        <v>0</v>
      </c>
      <c r="H46" s="14">
        <f t="shared" si="28"/>
        <v>151</v>
      </c>
      <c r="I46" s="350">
        <f>IF(Z46="","",Z46)</f>
        <v>0</v>
      </c>
      <c r="J46" s="14">
        <f t="shared" si="29"/>
        <v>190</v>
      </c>
      <c r="K46" s="350">
        <f>IF(AB46="","",AB46)</f>
        <v>1</v>
      </c>
      <c r="L46" s="14">
        <f t="shared" si="30"/>
        <v>145</v>
      </c>
      <c r="M46" s="350">
        <f>IF(AD46="","",AD46)</f>
        <v>0</v>
      </c>
      <c r="N46" s="14">
        <f t="shared" si="31"/>
        <v>954</v>
      </c>
      <c r="O46" s="350">
        <f>IF(AH46="","",AH46)</f>
        <v>2</v>
      </c>
      <c r="R46" s="357"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2"/>
      <c r="B47" s="19" t="str">
        <f>IF(S47=0,"",S47)</f>
        <v/>
      </c>
      <c r="C47" s="20" t="str">
        <f t="shared" si="49"/>
        <v/>
      </c>
      <c r="D47" s="15" t="str">
        <f t="shared" si="50"/>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3"/>
      <c r="B48" s="21" t="str">
        <f>IF(S48=0,"",S48)</f>
        <v/>
      </c>
      <c r="C48" s="22" t="str">
        <f t="shared" si="49"/>
        <v/>
      </c>
      <c r="D48" s="9" t="str">
        <f t="shared" si="50"/>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63">
        <f t="shared" ref="D52:M54" si="55">IF(U52=0,"",U52)</f>
        <v>1</v>
      </c>
      <c r="E52" s="363" t="str">
        <f t="shared" si="55"/>
        <v/>
      </c>
      <c r="F52" s="363">
        <f t="shared" si="55"/>
        <v>1</v>
      </c>
      <c r="G52" s="363" t="str">
        <f t="shared" si="55"/>
        <v/>
      </c>
      <c r="H52" s="363">
        <f t="shared" si="55"/>
        <v>1</v>
      </c>
      <c r="I52" s="363" t="str">
        <f t="shared" si="55"/>
        <v/>
      </c>
      <c r="J52" s="363">
        <f t="shared" si="55"/>
        <v>1</v>
      </c>
      <c r="K52" s="363" t="str">
        <f t="shared" si="55"/>
        <v/>
      </c>
      <c r="L52" s="363">
        <f t="shared" si="55"/>
        <v>1</v>
      </c>
      <c r="M52" s="363" t="str">
        <f t="shared" si="55"/>
        <v/>
      </c>
      <c r="N52" s="364"/>
      <c r="O52" s="364"/>
      <c r="S52" s="13" t="s">
        <v>1786</v>
      </c>
      <c r="T52" s="5" t="s">
        <v>1787</v>
      </c>
      <c r="U52" s="369">
        <f>VLOOKUP($S32,Schlüssel!$A$5:$K$10,3)</f>
        <v>1</v>
      </c>
      <c r="V52" s="370"/>
      <c r="W52" s="369">
        <f>VLOOKUP($S32,Schlüssel!$A$5:$K$10,4)</f>
        <v>1</v>
      </c>
      <c r="X52" s="370"/>
      <c r="Y52" s="369">
        <f>VLOOKUP($S32,Schlüssel!$A$5:$K$10,5)</f>
        <v>1</v>
      </c>
      <c r="Z52" s="370"/>
      <c r="AA52" s="369">
        <f>VLOOKUP($S32,Schlüssel!$A$5:$K$10,6)</f>
        <v>1</v>
      </c>
      <c r="AB52" s="370"/>
      <c r="AC52" s="369">
        <f>VLOOKUP($S32,Schlüssel!$A$5:$K$10,7)</f>
        <v>1</v>
      </c>
      <c r="AD52" s="370"/>
      <c r="AE52" s="369">
        <f>VLOOKUP($S32,Schlüssel!$A$5:$K$10,8)</f>
        <v>1</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60" t="str">
        <f t="shared" si="55"/>
        <v>Kleeblatt Fürth</v>
      </c>
      <c r="E53" s="361" t="str">
        <f t="shared" si="55"/>
        <v/>
      </c>
      <c r="F53" s="360" t="str">
        <f t="shared" si="55"/>
        <v>Kleeblatt Fürth</v>
      </c>
      <c r="G53" s="361" t="str">
        <f t="shared" si="55"/>
        <v/>
      </c>
      <c r="H53" s="360" t="str">
        <f t="shared" si="55"/>
        <v>Kleeblatt Fürth</v>
      </c>
      <c r="I53" s="361" t="str">
        <f t="shared" si="55"/>
        <v/>
      </c>
      <c r="J53" s="360" t="str">
        <f t="shared" si="55"/>
        <v>Kleeblatt Fürth</v>
      </c>
      <c r="K53" s="361" t="str">
        <f t="shared" si="55"/>
        <v/>
      </c>
      <c r="L53" s="360" t="str">
        <f t="shared" si="55"/>
        <v>Kleeblatt Fürth</v>
      </c>
      <c r="M53" s="361" t="str">
        <f t="shared" si="55"/>
        <v/>
      </c>
      <c r="N53" s="362"/>
      <c r="O53" s="362"/>
      <c r="S53" s="4"/>
      <c r="T53" s="1"/>
      <c r="U53" s="360" t="str">
        <f>VLOOKUP(U52,Schlüssel!$A$5:$K$10,2)</f>
        <v>Kleeblatt Fürth</v>
      </c>
      <c r="V53" s="361"/>
      <c r="W53" s="360" t="str">
        <f>VLOOKUP(W52,Schlüssel!$A$5:$K$10,2)</f>
        <v>Kleeblatt Fürth</v>
      </c>
      <c r="X53" s="361"/>
      <c r="Y53" s="360" t="str">
        <f>VLOOKUP(Y52,Schlüssel!$A$5:$K$10,2)</f>
        <v>Kleeblatt Fürth</v>
      </c>
      <c r="Z53" s="361"/>
      <c r="AA53" s="360" t="str">
        <f>VLOOKUP(AA52,Schlüssel!$A$5:$K$10,2)</f>
        <v>Kleeblatt Fürth</v>
      </c>
      <c r="AB53" s="361"/>
      <c r="AC53" s="360" t="str">
        <f>VLOOKUP(AC52,Schlüssel!$A$5:$K$10,2)</f>
        <v>Kleeblatt Fürth</v>
      </c>
      <c r="AD53" s="361"/>
      <c r="AE53" s="360" t="str">
        <f>VLOOKUP(AE52,Schlüssel!$A$5:$K$10,2)</f>
        <v>Kleeblatt Fürth</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65" t="str">
        <f t="shared" si="55"/>
        <v/>
      </c>
      <c r="E54" s="365" t="str">
        <f t="shared" si="55"/>
        <v/>
      </c>
      <c r="F54" s="365" t="str">
        <f t="shared" si="55"/>
        <v/>
      </c>
      <c r="G54" s="365" t="str">
        <f t="shared" si="55"/>
        <v/>
      </c>
      <c r="H54" s="365" t="str">
        <f t="shared" si="55"/>
        <v/>
      </c>
      <c r="I54" s="365" t="str">
        <f t="shared" si="55"/>
        <v/>
      </c>
      <c r="J54" s="365" t="str">
        <f t="shared" si="55"/>
        <v/>
      </c>
      <c r="K54" s="365" t="str">
        <f t="shared" si="55"/>
        <v/>
      </c>
      <c r="L54" s="365" t="str">
        <f t="shared" si="55"/>
        <v/>
      </c>
      <c r="M54" s="365" t="str">
        <f t="shared" si="55"/>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si="53"/>
        <v>Spieler 1</v>
      </c>
      <c r="C55" s="379" t="str">
        <f t="shared" si="54"/>
        <v/>
      </c>
      <c r="D55" s="346">
        <f>IF(U55=301,"",U55)</f>
        <v>168</v>
      </c>
      <c r="E55" s="346" t="str">
        <f>IF(V55=0,"",V55)</f>
        <v/>
      </c>
      <c r="F55" s="346">
        <f>IF(W55=301,"",W55)</f>
        <v>111</v>
      </c>
      <c r="G55" s="346" t="str">
        <f>IF(X55=0,"",X55)</f>
        <v/>
      </c>
      <c r="H55" s="346">
        <f>IF(Y55=301,"",Y55)</f>
        <v>203</v>
      </c>
      <c r="I55" s="346" t="str">
        <f>IF(Z55=0,"",Z55)</f>
        <v/>
      </c>
      <c r="J55" s="346">
        <f>IF(AA55=301,"",AA55)</f>
        <v>113</v>
      </c>
      <c r="K55" s="346" t="str">
        <f>IF(AB55=0,"",AB55)</f>
        <v/>
      </c>
      <c r="L55" s="346">
        <f>IF(AC55=301,"",AC55)</f>
        <v>179</v>
      </c>
      <c r="M55" s="346" t="str">
        <f>IF(AD55=0,"",AD55)</f>
        <v/>
      </c>
      <c r="N55" s="354"/>
      <c r="O55" s="354"/>
      <c r="S55" s="35" t="s">
        <v>0</v>
      </c>
      <c r="T55" s="36"/>
      <c r="U55" s="374">
        <f>ABS(INDEX(U:U,MATCH(U52,$S:$S,0)+5)+INDEX(U:U,MATCH(U52,$S:$S,0)+6)+INDEX(U:U,MATCH(U52,$S:$S,0)+7))</f>
        <v>168</v>
      </c>
      <c r="V55" s="375"/>
      <c r="W55" s="374">
        <f>ABS(INDEX(W:W,MATCH(W52,$S:$S,0)+5)+INDEX(W:W,MATCH(W52,$S:$S,0)+6)+INDEX(W:W,MATCH(W52,$S:$S,0)+7))</f>
        <v>111</v>
      </c>
      <c r="X55" s="375"/>
      <c r="Y55" s="374">
        <f>ABS(INDEX(Y:Y,MATCH(Y52,$S:$S,0)+5)+INDEX(Y:Y,MATCH(Y52,$S:$S,0)+6)+INDEX(Y:Y,MATCH(Y52,$S:$S,0)+7))</f>
        <v>203</v>
      </c>
      <c r="Z55" s="375"/>
      <c r="AA55" s="374">
        <f>ABS(INDEX(AA:AA,MATCH(AA52,$S:$S,0)+5)+INDEX(AA:AA,MATCH(AA52,$S:$S,0)+6)+INDEX(AA:AA,MATCH(AA52,$S:$S,0)+7))</f>
        <v>113</v>
      </c>
      <c r="AB55" s="375"/>
      <c r="AC55" s="374">
        <f>ABS(INDEX(AC:AC,MATCH(AC52,$S:$S,0)+5)+INDEX(AC:AC,MATCH(AC52,$S:$S,0)+6)+INDEX(AC:AC,MATCH(AC52,$S:$S,0)+7))</f>
        <v>179</v>
      </c>
      <c r="AD55" s="375"/>
      <c r="AE55" s="374">
        <f>ABS(INDEX(AE:AE,MATCH(AE52,$S:$S,0)+5)+INDEX(AE:AE,MATCH(AE52,$S:$S,0)+6)+INDEX(AE:AE,MATCH(AE52,$S:$S,0)+7))</f>
        <v>183</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4"/>
        <v/>
      </c>
      <c r="D56" s="346">
        <f>IF(U56=301,"",U56)</f>
        <v>160</v>
      </c>
      <c r="E56" s="346" t="str">
        <f>IF(V56=0,"",V56)</f>
        <v/>
      </c>
      <c r="F56" s="346">
        <f>IF(W56=301,"",W56)</f>
        <v>144</v>
      </c>
      <c r="G56" s="346" t="str">
        <f>IF(X56=0,"",X56)</f>
        <v/>
      </c>
      <c r="H56" s="346">
        <f>IF(Y56=301,"",Y56)</f>
        <v>138</v>
      </c>
      <c r="I56" s="346" t="str">
        <f>IF(Z56=0,"",Z56)</f>
        <v/>
      </c>
      <c r="J56" s="346">
        <f>IF(AA56=301,"",AA56)</f>
        <v>133</v>
      </c>
      <c r="K56" s="346" t="str">
        <f>IF(AB56=0,"",AB56)</f>
        <v/>
      </c>
      <c r="L56" s="346">
        <f>IF(AC56=301,"",AC56)</f>
        <v>129</v>
      </c>
      <c r="M56" s="346" t="str">
        <f>IF(AD56=0,"",AD56)</f>
        <v/>
      </c>
      <c r="N56" s="354"/>
      <c r="O56" s="354"/>
      <c r="S56" s="35" t="s">
        <v>2</v>
      </c>
      <c r="T56" s="36"/>
      <c r="U56" s="376">
        <f>ABS(INDEX(U:U,MATCH(U52,$S:$S,0)+8)+INDEX(U:U,MATCH(U52,$S:$S,0)+9)+INDEX(U:U,MATCH(U52,$S:$S,0)+10))</f>
        <v>160</v>
      </c>
      <c r="V56" s="377"/>
      <c r="W56" s="376">
        <f>ABS(INDEX(W:W,MATCH(W52,$S:$S,0)+8)+INDEX(W:W,MATCH(W52,$S:$S,0)+9)+INDEX(W:W,MATCH(W52,$S:$S,0)+10))</f>
        <v>144</v>
      </c>
      <c r="X56" s="377"/>
      <c r="Y56" s="376">
        <f>ABS(INDEX(Y:Y,MATCH(Y52,$S:$S,0)+8)+INDEX(Y:Y,MATCH(Y52,$S:$S,0)+9)+INDEX(Y:Y,MATCH(Y52,$S:$S,0)+10))</f>
        <v>138</v>
      </c>
      <c r="Z56" s="377"/>
      <c r="AA56" s="376">
        <f>ABS(INDEX(AA:AA,MATCH(AA52,$S:$S,0)+8)+INDEX(AA:AA,MATCH(AA52,$S:$S,0)+9)+INDEX(AA:AA,MATCH(AA52,$S:$S,0)+10))</f>
        <v>133</v>
      </c>
      <c r="AB56" s="377"/>
      <c r="AC56" s="376">
        <f>ABS(INDEX(AC:AC,MATCH(AC52,$S:$S,0)+8)+INDEX(AC:AC,MATCH(AC52,$S:$S,0)+9)+INDEX(AC:AC,MATCH(AC52,$S:$S,0)+10))</f>
        <v>129</v>
      </c>
      <c r="AD56" s="377"/>
      <c r="AE56" s="376">
        <f>ABS(INDEX(AE:AE,MATCH(AE52,$S:$S,0)+8)+INDEX(AE:AE,MATCH(AE52,$S:$S,0)+9)+INDEX(AE:AE,MATCH(AE52,$S:$S,0)+10))</f>
        <v>144</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4"/>
        <v/>
      </c>
      <c r="D57" s="346">
        <f>IF(U57=301,"",U57)</f>
        <v>133</v>
      </c>
      <c r="E57" s="346" t="str">
        <f>IF(V57=0,"",V57)</f>
        <v/>
      </c>
      <c r="F57" s="346">
        <f>IF(W57=301,"",W57)</f>
        <v>205</v>
      </c>
      <c r="G57" s="346" t="str">
        <f>IF(X57=0,"",X57)</f>
        <v/>
      </c>
      <c r="H57" s="346">
        <f>IF(Y57=301,"",Y57)</f>
        <v>139</v>
      </c>
      <c r="I57" s="346" t="str">
        <f>IF(Z57=0,"",Z57)</f>
        <v/>
      </c>
      <c r="J57" s="346">
        <f>IF(AA57=301,"",AA57)</f>
        <v>117</v>
      </c>
      <c r="K57" s="346" t="str">
        <f>IF(AB57=0,"",AB57)</f>
        <v/>
      </c>
      <c r="L57" s="346">
        <f>IF(AC57=301,"",AC57)</f>
        <v>127</v>
      </c>
      <c r="M57" s="346" t="str">
        <f>IF(AD57=0,"",AD57)</f>
        <v/>
      </c>
      <c r="N57" s="354"/>
      <c r="O57" s="354"/>
      <c r="S57" s="35" t="s">
        <v>3</v>
      </c>
      <c r="T57" s="36"/>
      <c r="U57" s="376">
        <f>ABS(INDEX(U:U,MATCH(U52,$S:$S,0)+11)+INDEX(U:U,MATCH(U52,$S:$S,0)+12)+INDEX(U:U,MATCH(U52,$S:$S,0)+13))</f>
        <v>133</v>
      </c>
      <c r="V57" s="377"/>
      <c r="W57" s="376">
        <f>ABS(INDEX(W:W,MATCH(W52,$S:$S,0)+11)+INDEX(W:W,MATCH(W52,$S:$S,0)+12)+INDEX(W:W,MATCH(W52,$S:$S,0)+13))</f>
        <v>205</v>
      </c>
      <c r="X57" s="377"/>
      <c r="Y57" s="376">
        <f>ABS(INDEX(Y:Y,MATCH(Y52,$S:$S,0)+11)+INDEX(Y:Y,MATCH(Y52,$S:$S,0)+12)+INDEX(Y:Y,MATCH(Y52,$S:$S,0)+13))</f>
        <v>139</v>
      </c>
      <c r="Z57" s="377"/>
      <c r="AA57" s="376">
        <f>ABS(INDEX(AA:AA,MATCH(AA52,$S:$S,0)+11)+INDEX(AA:AA,MATCH(AA52,$S:$S,0)+12)+INDEX(AA:AA,MATCH(AA52,$S:$S,0)+13))</f>
        <v>117</v>
      </c>
      <c r="AB57" s="377"/>
      <c r="AC57" s="376">
        <f>ABS(INDEX(AC:AC,MATCH(AC52,$S:$S,0)+11)+INDEX(AC:AC,MATCH(AC52,$S:$S,0)+12)+INDEX(AC:AC,MATCH(AC52,$S:$S,0)+13))</f>
        <v>127</v>
      </c>
      <c r="AD57" s="377"/>
      <c r="AE57" s="376">
        <f>ABS(INDEX(AE:AE,MATCH(AE52,$S:$S,0)+11)+INDEX(AE:AE,MATCH(AE52,$S:$S,0)+12)+INDEX(AE:AE,MATCH(AE52,$S:$S,0)+13))</f>
        <v>151</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4"/>
        <v/>
      </c>
      <c r="D58" s="346">
        <f>IF(U58=301,"",U58)</f>
        <v>157</v>
      </c>
      <c r="E58" s="346" t="str">
        <f>IF(V58=0,"",V58)</f>
        <v/>
      </c>
      <c r="F58" s="346">
        <f>IF(W58=301,"",W58)</f>
        <v>151</v>
      </c>
      <c r="G58" s="346" t="str">
        <f>IF(X58=0,"",X58)</f>
        <v/>
      </c>
      <c r="H58" s="346">
        <f>IF(Y58=301,"",Y58)</f>
        <v>179</v>
      </c>
      <c r="I58" s="346" t="str">
        <f>IF(Z58=0,"",Z58)</f>
        <v/>
      </c>
      <c r="J58" s="346">
        <f>IF(AA58=301,"",AA58)</f>
        <v>156</v>
      </c>
      <c r="K58" s="346" t="str">
        <f>IF(AB58=0,"",AB58)</f>
        <v/>
      </c>
      <c r="L58" s="346">
        <f>IF(AC58=301,"",AC58)</f>
        <v>167</v>
      </c>
      <c r="M58" s="346" t="str">
        <f>IF(AD58=0,"",AD58)</f>
        <v/>
      </c>
      <c r="N58" s="354"/>
      <c r="O58" s="354"/>
      <c r="S58" s="35" t="s">
        <v>11</v>
      </c>
      <c r="T58" s="36"/>
      <c r="U58" s="376">
        <f>ABS(INDEX(U:U,MATCH(U52,$S:$S,0)+14)+INDEX(U:U,MATCH(U52,$S:$S,0)+15)+INDEX(U:U,MATCH(U52,$S:$S,0)+16))</f>
        <v>157</v>
      </c>
      <c r="V58" s="377"/>
      <c r="W58" s="376">
        <f>ABS(INDEX(W:W,MATCH(W52,$S:$S,0)+14)+INDEX(W:W,MATCH(W52,$S:$S,0)+15)+INDEX(W:W,MATCH(W52,$S:$S,0)+16))</f>
        <v>151</v>
      </c>
      <c r="X58" s="377"/>
      <c r="Y58" s="376">
        <f>ABS(INDEX(Y:Y,MATCH(Y52,$S:$S,0)+14)+INDEX(Y:Y,MATCH(Y52,$S:$S,0)+15)+INDEX(Y:Y,MATCH(Y52,$S:$S,0)+16))</f>
        <v>179</v>
      </c>
      <c r="Z58" s="377"/>
      <c r="AA58" s="376">
        <f>ABS(INDEX(AA:AA,MATCH(AA52,$S:$S,0)+14)+INDEX(AA:AA,MATCH(AA52,$S:$S,0)+15)+INDEX(AA:AA,MATCH(AA52,$S:$S,0)+16))</f>
        <v>156</v>
      </c>
      <c r="AB58" s="377"/>
      <c r="AC58" s="376">
        <f>ABS(INDEX(AC:AC,MATCH(AC52,$S:$S,0)+14)+INDEX(AC:AC,MATCH(AC52,$S:$S,0)+15)+INDEX(AC:AC,MATCH(AC52,$S:$S,0)+16))</f>
        <v>167</v>
      </c>
      <c r="AD58" s="377"/>
      <c r="AE58" s="376">
        <f>ABS(INDEX(AE:AE,MATCH(AE52,$S:$S,0)+14)+INDEX(AE:AE,MATCH(AE52,$S:$S,0)+15)+INDEX(AE:AE,MATCH(AE52,$S:$S,0)+16))</f>
        <v>166</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4"/>
        <v/>
      </c>
      <c r="D59" s="347">
        <f>IF(U59=1505,"",U59)</f>
        <v>618</v>
      </c>
      <c r="E59" s="347" t="str">
        <f>IF(V59=0,"",V59)</f>
        <v/>
      </c>
      <c r="F59" s="347">
        <f>IF(W59=1505,"",W59)</f>
        <v>611</v>
      </c>
      <c r="G59" s="347" t="str">
        <f>IF(X59=0,"",X59)</f>
        <v/>
      </c>
      <c r="H59" s="347">
        <f>IF(Y59=1505,"",Y59)</f>
        <v>659</v>
      </c>
      <c r="I59" s="347" t="str">
        <f>IF(Z59=0,"",Z59)</f>
        <v/>
      </c>
      <c r="J59" s="347">
        <f>IF(AA59=1505,"",AA59)</f>
        <v>519</v>
      </c>
      <c r="K59" s="347" t="str">
        <f>IF(AB59=0,"",AB59)</f>
        <v/>
      </c>
      <c r="L59" s="347">
        <f>IF(AC59=1505,"",AC59)</f>
        <v>602</v>
      </c>
      <c r="M59" s="347" t="str">
        <f>IF(AD59=0,"",AD59)</f>
        <v/>
      </c>
      <c r="N59" s="300"/>
      <c r="O59" s="300"/>
      <c r="S59" s="37" t="s">
        <v>1788</v>
      </c>
      <c r="T59" s="38"/>
      <c r="U59" s="348">
        <f>SUM(U55:U58)</f>
        <v>618</v>
      </c>
      <c r="V59" s="349"/>
      <c r="W59" s="348">
        <f>SUM(W55:W58)</f>
        <v>611</v>
      </c>
      <c r="X59" s="349"/>
      <c r="Y59" s="348">
        <f>SUM(Y55:Y58)</f>
        <v>659</v>
      </c>
      <c r="Z59" s="349"/>
      <c r="AA59" s="348">
        <f>SUM(AA55:AA58)</f>
        <v>519</v>
      </c>
      <c r="AB59" s="349"/>
      <c r="AC59" s="348">
        <f>SUM(AC55:AC58)</f>
        <v>602</v>
      </c>
      <c r="AD59" s="349"/>
      <c r="AE59" s="348">
        <f>SUM(AE55:AE58)</f>
        <v>644</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29.09.</v>
      </c>
      <c r="N61" s="366"/>
      <c r="O61" s="366"/>
      <c r="P61" s="368"/>
      <c r="Q61" s="368"/>
      <c r="R61" s="368"/>
      <c r="S61" s="7" t="s">
        <v>1798</v>
      </c>
      <c r="T61" s="25"/>
      <c r="U61" s="30" t="s">
        <v>1782</v>
      </c>
      <c r="V61" s="76" t="str">
        <f>Schlüssel!$C$1</f>
        <v>Landesliga Nord Frauen</v>
      </c>
      <c r="X61" s="25"/>
      <c r="Y61" s="25"/>
      <c r="Z61" s="25"/>
      <c r="AA61" s="25"/>
      <c r="AC61" s="29"/>
      <c r="AD61" s="353" t="str">
        <f>Schlüssel!$M$1</f>
        <v>29.09.</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t="e">
        <f>IF(V67="","",V67)</f>
        <v>#N/A</v>
      </c>
      <c r="F67" s="14" t="str">
        <f t="shared" ref="F67:F80" si="56">IF(W67=0,"",W67)</f>
        <v/>
      </c>
      <c r="G67" s="350" t="e">
        <f>IF(X67="","",X67)</f>
        <v>#N/A</v>
      </c>
      <c r="H67" s="14" t="str">
        <f t="shared" ref="H67:H80" si="57">IF(Y67=0,"",Y67)</f>
        <v/>
      </c>
      <c r="I67" s="350" t="e">
        <f>IF(Z67="","",Z67)</f>
        <v>#N/A</v>
      </c>
      <c r="J67" s="14" t="str">
        <f t="shared" ref="J67:J80" si="58">IF(AA67=0,"",AA67)</f>
        <v/>
      </c>
      <c r="K67" s="350" t="e">
        <f>IF(AB67="","",AB67)</f>
        <v>#N/A</v>
      </c>
      <c r="L67" s="14" t="str">
        <f t="shared" ref="L67:L80" si="59">IF(AC67=0,"",AC67)</f>
        <v/>
      </c>
      <c r="M67" s="350" t="e">
        <f>IF(AD67="","",AD67)</f>
        <v>#N/A</v>
      </c>
      <c r="N67" s="14" t="str">
        <f t="shared" ref="N67:N80" si="60">IF(AG67=0,"",AG67)</f>
        <v/>
      </c>
      <c r="O67" s="350" t="e">
        <f>IF(AH67="","",AH67)</f>
        <v>#N/A</v>
      </c>
      <c r="R67" s="357"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2"/>
      <c r="B68" s="19" t="str">
        <f t="shared" ref="B68:B75" si="77">IF(S68=0,"",S68)</f>
        <v/>
      </c>
      <c r="C68" s="20" t="str">
        <f t="shared" ref="C68:C80" si="78">IF(T68=0,"",T68)</f>
        <v/>
      </c>
      <c r="D68" s="15" t="str">
        <f t="shared" ref="D68:D80" si="79">IF(U68=0,"",U68)</f>
        <v/>
      </c>
      <c r="E68" s="351"/>
      <c r="F68" s="15" t="str">
        <f t="shared" si="56"/>
        <v/>
      </c>
      <c r="G68" s="351"/>
      <c r="H68" s="15" t="str">
        <f t="shared" si="57"/>
        <v/>
      </c>
      <c r="I68" s="351"/>
      <c r="J68" s="15" t="str">
        <f t="shared" si="58"/>
        <v/>
      </c>
      <c r="K68" s="351"/>
      <c r="L68" s="15" t="str">
        <f t="shared" si="59"/>
        <v/>
      </c>
      <c r="M68" s="351"/>
      <c r="N68" s="15" t="str">
        <f t="shared" si="60"/>
        <v/>
      </c>
      <c r="O68" s="351"/>
      <c r="R68" s="358"/>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3"/>
      <c r="B69" s="21" t="str">
        <f t="shared" si="77"/>
        <v/>
      </c>
      <c r="C69" s="22" t="str">
        <f t="shared" si="78"/>
        <v/>
      </c>
      <c r="D69" s="9" t="str">
        <f t="shared" si="79"/>
        <v/>
      </c>
      <c r="E69" s="352"/>
      <c r="F69" s="9" t="str">
        <f t="shared" si="56"/>
        <v/>
      </c>
      <c r="G69" s="352"/>
      <c r="H69" s="9" t="str">
        <f t="shared" si="57"/>
        <v/>
      </c>
      <c r="I69" s="352"/>
      <c r="J69" s="9" t="str">
        <f t="shared" si="58"/>
        <v/>
      </c>
      <c r="K69" s="352"/>
      <c r="L69" s="9" t="str">
        <f t="shared" si="59"/>
        <v/>
      </c>
      <c r="M69" s="352"/>
      <c r="N69" s="9" t="str">
        <f t="shared" si="60"/>
        <v/>
      </c>
      <c r="O69" s="352"/>
      <c r="R69" s="359"/>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1" t="s">
        <v>2</v>
      </c>
      <c r="B70" s="17" t="str">
        <f t="shared" si="77"/>
        <v/>
      </c>
      <c r="C70" s="18" t="str">
        <f t="shared" si="78"/>
        <v/>
      </c>
      <c r="D70" s="14" t="str">
        <f t="shared" si="79"/>
        <v/>
      </c>
      <c r="E70" s="350" t="e">
        <f>IF(V70="","",V70)</f>
        <v>#N/A</v>
      </c>
      <c r="F70" s="14" t="str">
        <f t="shared" si="56"/>
        <v/>
      </c>
      <c r="G70" s="350" t="e">
        <f>IF(X70="","",X70)</f>
        <v>#N/A</v>
      </c>
      <c r="H70" s="14" t="str">
        <f t="shared" si="57"/>
        <v/>
      </c>
      <c r="I70" s="350" t="e">
        <f>IF(Z70="","",Z70)</f>
        <v>#N/A</v>
      </c>
      <c r="J70" s="14" t="str">
        <f t="shared" si="58"/>
        <v/>
      </c>
      <c r="K70" s="350" t="e">
        <f>IF(AB70="","",AB70)</f>
        <v>#N/A</v>
      </c>
      <c r="L70" s="14" t="str">
        <f t="shared" si="59"/>
        <v/>
      </c>
      <c r="M70" s="350" t="e">
        <f>IF(AD70="","",AD70)</f>
        <v>#N/A</v>
      </c>
      <c r="N70" s="14" t="str">
        <f t="shared" si="60"/>
        <v/>
      </c>
      <c r="O70" s="350" t="e">
        <f>IF(AH70="","",AH70)</f>
        <v>#N/A</v>
      </c>
      <c r="R70" s="357"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2"/>
      <c r="B71" s="19" t="str">
        <f t="shared" si="77"/>
        <v/>
      </c>
      <c r="C71" s="20" t="str">
        <f t="shared" si="78"/>
        <v/>
      </c>
      <c r="D71" s="15" t="str">
        <f t="shared" si="79"/>
        <v/>
      </c>
      <c r="E71" s="351"/>
      <c r="F71" s="15" t="str">
        <f t="shared" si="56"/>
        <v/>
      </c>
      <c r="G71" s="351"/>
      <c r="H71" s="15" t="str">
        <f t="shared" si="57"/>
        <v/>
      </c>
      <c r="I71" s="351"/>
      <c r="J71" s="15" t="str">
        <f t="shared" si="58"/>
        <v/>
      </c>
      <c r="K71" s="351"/>
      <c r="L71" s="15" t="str">
        <f t="shared" si="59"/>
        <v/>
      </c>
      <c r="M71" s="351"/>
      <c r="N71" s="15" t="str">
        <f t="shared" si="60"/>
        <v/>
      </c>
      <c r="O71" s="351"/>
      <c r="R71" s="358"/>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3"/>
      <c r="B72" s="21" t="str">
        <f t="shared" si="77"/>
        <v/>
      </c>
      <c r="C72" s="22" t="str">
        <f t="shared" si="78"/>
        <v/>
      </c>
      <c r="D72" s="9" t="str">
        <f t="shared" si="79"/>
        <v/>
      </c>
      <c r="E72" s="352"/>
      <c r="F72" s="9" t="str">
        <f t="shared" si="56"/>
        <v/>
      </c>
      <c r="G72" s="352"/>
      <c r="H72" s="9" t="str">
        <f t="shared" si="57"/>
        <v/>
      </c>
      <c r="I72" s="352"/>
      <c r="J72" s="9" t="str">
        <f t="shared" si="58"/>
        <v/>
      </c>
      <c r="K72" s="352"/>
      <c r="L72" s="9" t="str">
        <f t="shared" si="59"/>
        <v/>
      </c>
      <c r="M72" s="352"/>
      <c r="N72" s="9" t="str">
        <f t="shared" si="60"/>
        <v/>
      </c>
      <c r="O72" s="352"/>
      <c r="R72" s="359"/>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1" t="s">
        <v>3</v>
      </c>
      <c r="B73" s="17" t="str">
        <f t="shared" si="77"/>
        <v/>
      </c>
      <c r="C73" s="18" t="str">
        <f t="shared" si="78"/>
        <v/>
      </c>
      <c r="D73" s="14" t="str">
        <f t="shared" si="79"/>
        <v/>
      </c>
      <c r="E73" s="350" t="e">
        <f>IF(V73="","",V73)</f>
        <v>#N/A</v>
      </c>
      <c r="F73" s="14" t="str">
        <f t="shared" si="56"/>
        <v/>
      </c>
      <c r="G73" s="350" t="e">
        <f>IF(X73="","",X73)</f>
        <v>#N/A</v>
      </c>
      <c r="H73" s="14" t="str">
        <f t="shared" si="57"/>
        <v/>
      </c>
      <c r="I73" s="350" t="e">
        <f>IF(Z73="","",Z73)</f>
        <v>#N/A</v>
      </c>
      <c r="J73" s="14" t="str">
        <f t="shared" si="58"/>
        <v/>
      </c>
      <c r="K73" s="350" t="e">
        <f>IF(AB73="","",AB73)</f>
        <v>#N/A</v>
      </c>
      <c r="L73" s="14" t="str">
        <f t="shared" si="59"/>
        <v/>
      </c>
      <c r="M73" s="350" t="e">
        <f>IF(AD73="","",AD73)</f>
        <v>#N/A</v>
      </c>
      <c r="N73" s="14" t="str">
        <f t="shared" si="60"/>
        <v/>
      </c>
      <c r="O73" s="350" t="e">
        <f>IF(AH73="","",AH73)</f>
        <v>#N/A</v>
      </c>
      <c r="R73" s="357"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2"/>
      <c r="B74" s="19" t="str">
        <f t="shared" si="77"/>
        <v/>
      </c>
      <c r="C74" s="20" t="str">
        <f t="shared" si="78"/>
        <v/>
      </c>
      <c r="D74" s="15" t="str">
        <f t="shared" si="79"/>
        <v/>
      </c>
      <c r="E74" s="351"/>
      <c r="F74" s="15" t="str">
        <f t="shared" si="56"/>
        <v/>
      </c>
      <c r="G74" s="351"/>
      <c r="H74" s="15" t="str">
        <f t="shared" si="57"/>
        <v/>
      </c>
      <c r="I74" s="351"/>
      <c r="J74" s="15" t="str">
        <f t="shared" si="58"/>
        <v/>
      </c>
      <c r="K74" s="351"/>
      <c r="L74" s="15" t="str">
        <f t="shared" si="59"/>
        <v/>
      </c>
      <c r="M74" s="351"/>
      <c r="N74" s="15" t="str">
        <f t="shared" si="60"/>
        <v/>
      </c>
      <c r="O74" s="351"/>
      <c r="R74" s="358"/>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3"/>
      <c r="B75" s="21" t="str">
        <f t="shared" si="77"/>
        <v/>
      </c>
      <c r="C75" s="22" t="str">
        <f t="shared" si="78"/>
        <v/>
      </c>
      <c r="D75" s="9" t="str">
        <f t="shared" si="79"/>
        <v/>
      </c>
      <c r="E75" s="352"/>
      <c r="F75" s="9" t="str">
        <f t="shared" si="56"/>
        <v/>
      </c>
      <c r="G75" s="352"/>
      <c r="H75" s="9" t="str">
        <f t="shared" si="57"/>
        <v/>
      </c>
      <c r="I75" s="352"/>
      <c r="J75" s="9" t="str">
        <f t="shared" si="58"/>
        <v/>
      </c>
      <c r="K75" s="352"/>
      <c r="L75" s="9" t="str">
        <f t="shared" si="59"/>
        <v/>
      </c>
      <c r="M75" s="352"/>
      <c r="N75" s="9" t="str">
        <f t="shared" si="60"/>
        <v/>
      </c>
      <c r="O75" s="352"/>
      <c r="R75" s="359"/>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1" t="s">
        <v>11</v>
      </c>
      <c r="B76" s="17" t="str">
        <f>IF(S76=0,"",S76)</f>
        <v/>
      </c>
      <c r="C76" s="18" t="str">
        <f t="shared" si="78"/>
        <v/>
      </c>
      <c r="D76" s="14" t="str">
        <f t="shared" si="79"/>
        <v/>
      </c>
      <c r="E76" s="350" t="e">
        <f>IF(V76="","",V76)</f>
        <v>#N/A</v>
      </c>
      <c r="F76" s="14" t="str">
        <f t="shared" si="56"/>
        <v/>
      </c>
      <c r="G76" s="350" t="e">
        <f>IF(X76="","",X76)</f>
        <v>#N/A</v>
      </c>
      <c r="H76" s="14" t="str">
        <f t="shared" si="57"/>
        <v/>
      </c>
      <c r="I76" s="350" t="e">
        <f>IF(Z76="","",Z76)</f>
        <v>#N/A</v>
      </c>
      <c r="J76" s="14" t="str">
        <f t="shared" si="58"/>
        <v/>
      </c>
      <c r="K76" s="350" t="e">
        <f>IF(AB76="","",AB76)</f>
        <v>#N/A</v>
      </c>
      <c r="L76" s="14" t="str">
        <f t="shared" si="59"/>
        <v/>
      </c>
      <c r="M76" s="350" t="e">
        <f>IF(AD76="","",AD76)</f>
        <v>#N/A</v>
      </c>
      <c r="N76" s="14" t="str">
        <f t="shared" si="60"/>
        <v/>
      </c>
      <c r="O76" s="350" t="e">
        <f>IF(AH76="","",AH76)</f>
        <v>#N/A</v>
      </c>
      <c r="R76" s="357"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2"/>
      <c r="B77" s="19" t="str">
        <f>IF(S77=0,"",S77)</f>
        <v/>
      </c>
      <c r="C77" s="20" t="str">
        <f t="shared" si="78"/>
        <v/>
      </c>
      <c r="D77" s="15" t="str">
        <f t="shared" si="79"/>
        <v/>
      </c>
      <c r="E77" s="351"/>
      <c r="F77" s="15" t="str">
        <f t="shared" si="56"/>
        <v/>
      </c>
      <c r="G77" s="351"/>
      <c r="H77" s="15" t="str">
        <f t="shared" si="57"/>
        <v/>
      </c>
      <c r="I77" s="351"/>
      <c r="J77" s="15" t="str">
        <f t="shared" si="58"/>
        <v/>
      </c>
      <c r="K77" s="351"/>
      <c r="L77" s="15" t="str">
        <f t="shared" si="59"/>
        <v/>
      </c>
      <c r="M77" s="351"/>
      <c r="N77" s="15" t="str">
        <f t="shared" si="60"/>
        <v/>
      </c>
      <c r="O77" s="351"/>
      <c r="R77" s="358"/>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3"/>
      <c r="B78" s="21" t="str">
        <f>IF(S78=0,"",S78)</f>
        <v/>
      </c>
      <c r="C78" s="22" t="str">
        <f t="shared" si="78"/>
        <v/>
      </c>
      <c r="D78" s="9" t="str">
        <f t="shared" si="79"/>
        <v/>
      </c>
      <c r="E78" s="352"/>
      <c r="F78" s="9" t="str">
        <f t="shared" si="56"/>
        <v/>
      </c>
      <c r="G78" s="352"/>
      <c r="H78" s="9" t="str">
        <f t="shared" si="57"/>
        <v/>
      </c>
      <c r="I78" s="352"/>
      <c r="J78" s="9" t="str">
        <f t="shared" si="58"/>
        <v/>
      </c>
      <c r="K78" s="352"/>
      <c r="L78" s="9" t="str">
        <f t="shared" si="59"/>
        <v/>
      </c>
      <c r="M78" s="352"/>
      <c r="N78" s="9" t="str">
        <f t="shared" si="60"/>
        <v/>
      </c>
      <c r="O78" s="352"/>
      <c r="R78" s="359"/>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63" t="str">
        <f t="shared" ref="D82:M84" si="84">IF(U82=0,"",U82)</f>
        <v/>
      </c>
      <c r="E82" s="363" t="str">
        <f t="shared" si="84"/>
        <v/>
      </c>
      <c r="F82" s="363" t="str">
        <f t="shared" si="84"/>
        <v/>
      </c>
      <c r="G82" s="363" t="str">
        <f t="shared" si="84"/>
        <v/>
      </c>
      <c r="H82" s="363" t="str">
        <f t="shared" si="84"/>
        <v/>
      </c>
      <c r="I82" s="363" t="str">
        <f t="shared" si="84"/>
        <v/>
      </c>
      <c r="J82" s="363" t="str">
        <f t="shared" si="84"/>
        <v/>
      </c>
      <c r="K82" s="363" t="str">
        <f t="shared" si="84"/>
        <v/>
      </c>
      <c r="L82" s="363" t="str">
        <f t="shared" si="84"/>
        <v/>
      </c>
      <c r="M82" s="363" t="str">
        <f t="shared" si="84"/>
        <v/>
      </c>
      <c r="N82" s="364"/>
      <c r="O82" s="364"/>
      <c r="S82" s="13" t="s">
        <v>1786</v>
      </c>
      <c r="T82" s="5" t="s">
        <v>1787</v>
      </c>
      <c r="U82" s="369">
        <f>VLOOKUP($S62,Schlüssel!$A$5:$K$10,3)</f>
        <v>0</v>
      </c>
      <c r="V82" s="370"/>
      <c r="W82" s="369">
        <f>VLOOKUP($S62,Schlüssel!$A$5:$K$10,4)</f>
        <v>0</v>
      </c>
      <c r="X82" s="370"/>
      <c r="Y82" s="369">
        <f>VLOOKUP($S62,Schlüssel!$A$5:$K$10,5)</f>
        <v>0</v>
      </c>
      <c r="Z82" s="370"/>
      <c r="AA82" s="369">
        <f>VLOOKUP($S62,Schlüssel!$A$5:$K$10,6)</f>
        <v>0</v>
      </c>
      <c r="AB82" s="370"/>
      <c r="AC82" s="369">
        <f>VLOOKUP($S62,Schlüssel!$A$5:$K$10,7)</f>
        <v>0</v>
      </c>
      <c r="AD82" s="370"/>
      <c r="AE82" s="369">
        <f>VLOOKUP($S62,Schlüssel!$A$5:$K$10,8)</f>
        <v>0</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60" t="e">
        <f t="shared" si="84"/>
        <v>#N/A</v>
      </c>
      <c r="E83" s="361" t="str">
        <f t="shared" si="84"/>
        <v/>
      </c>
      <c r="F83" s="360" t="e">
        <f t="shared" si="84"/>
        <v>#N/A</v>
      </c>
      <c r="G83" s="361" t="str">
        <f t="shared" si="84"/>
        <v/>
      </c>
      <c r="H83" s="360" t="e">
        <f t="shared" si="84"/>
        <v>#N/A</v>
      </c>
      <c r="I83" s="361" t="str">
        <f t="shared" si="84"/>
        <v/>
      </c>
      <c r="J83" s="360" t="e">
        <f t="shared" si="84"/>
        <v>#N/A</v>
      </c>
      <c r="K83" s="361" t="str">
        <f t="shared" si="84"/>
        <v/>
      </c>
      <c r="L83" s="360" t="e">
        <f t="shared" si="84"/>
        <v>#N/A</v>
      </c>
      <c r="M83" s="361" t="str">
        <f t="shared" si="84"/>
        <v/>
      </c>
      <c r="N83" s="362"/>
      <c r="O83" s="362"/>
      <c r="S83" s="4"/>
      <c r="T83" s="1"/>
      <c r="U83" s="360" t="e">
        <f>VLOOKUP(U82,Schlüssel!$A$5:$K$10,2)</f>
        <v>#N/A</v>
      </c>
      <c r="V83" s="361"/>
      <c r="W83" s="360" t="e">
        <f>VLOOKUP(W82,Schlüssel!$A$5:$K$10,2)</f>
        <v>#N/A</v>
      </c>
      <c r="X83" s="361"/>
      <c r="Y83" s="360" t="e">
        <f>VLOOKUP(Y82,Schlüssel!$A$5:$K$10,2)</f>
        <v>#N/A</v>
      </c>
      <c r="Z83" s="361"/>
      <c r="AA83" s="360" t="e">
        <f>VLOOKUP(AA82,Schlüssel!$A$5:$K$10,2)</f>
        <v>#N/A</v>
      </c>
      <c r="AB83" s="361"/>
      <c r="AC83" s="360" t="e">
        <f>VLOOKUP(AC82,Schlüssel!$A$5:$K$10,2)</f>
        <v>#N/A</v>
      </c>
      <c r="AD83" s="361"/>
      <c r="AE83" s="360" t="e">
        <f>VLOOKUP(AE82,Schlüssel!$A$5:$K$10,2)</f>
        <v>#N/A</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65" t="str">
        <f t="shared" si="84"/>
        <v/>
      </c>
      <c r="E84" s="365" t="str">
        <f t="shared" si="84"/>
        <v/>
      </c>
      <c r="F84" s="365" t="str">
        <f t="shared" si="84"/>
        <v/>
      </c>
      <c r="G84" s="365" t="str">
        <f t="shared" si="84"/>
        <v/>
      </c>
      <c r="H84" s="365" t="str">
        <f t="shared" si="84"/>
        <v/>
      </c>
      <c r="I84" s="365" t="str">
        <f t="shared" si="84"/>
        <v/>
      </c>
      <c r="J84" s="365" t="str">
        <f t="shared" si="84"/>
        <v/>
      </c>
      <c r="K84" s="365" t="str">
        <f t="shared" si="84"/>
        <v/>
      </c>
      <c r="L84" s="365" t="str">
        <f t="shared" si="84"/>
        <v/>
      </c>
      <c r="M84" s="365" t="str">
        <f t="shared" si="84"/>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si="82"/>
        <v>Spieler 1</v>
      </c>
      <c r="C85" s="379" t="str">
        <f t="shared" si="83"/>
        <v/>
      </c>
      <c r="D85" s="346" t="e">
        <f>IF(U85=301,"",U85)</f>
        <v>#N/A</v>
      </c>
      <c r="E85" s="346" t="str">
        <f>IF(V85=0,"",V85)</f>
        <v/>
      </c>
      <c r="F85" s="346" t="e">
        <f>IF(W85=301,"",W85)</f>
        <v>#N/A</v>
      </c>
      <c r="G85" s="346" t="str">
        <f>IF(X85=0,"",X85)</f>
        <v/>
      </c>
      <c r="H85" s="346" t="e">
        <f>IF(Y85=301,"",Y85)</f>
        <v>#N/A</v>
      </c>
      <c r="I85" s="346" t="str">
        <f>IF(Z85=0,"",Z85)</f>
        <v/>
      </c>
      <c r="J85" s="346" t="e">
        <f>IF(AA85=301,"",AA85)</f>
        <v>#N/A</v>
      </c>
      <c r="K85" s="346" t="str">
        <f>IF(AB85=0,"",AB85)</f>
        <v/>
      </c>
      <c r="L85" s="346" t="e">
        <f>IF(AC85=301,"",AC85)</f>
        <v>#N/A</v>
      </c>
      <c r="M85" s="346" t="str">
        <f>IF(AD85=0,"",AD85)</f>
        <v/>
      </c>
      <c r="N85" s="354"/>
      <c r="O85" s="354"/>
      <c r="S85" s="35" t="s">
        <v>0</v>
      </c>
      <c r="T85" s="36"/>
      <c r="U85" s="374" t="e">
        <f>ABS(INDEX(U:U,MATCH(U82,$S:$S,0)+5)+INDEX(U:U,MATCH(U82,$S:$S,0)+6)+INDEX(U:U,MATCH(U82,$S:$S,0)+7))</f>
        <v>#N/A</v>
      </c>
      <c r="V85" s="375"/>
      <c r="W85" s="374" t="e">
        <f>ABS(INDEX(W:W,MATCH(W82,$S:$S,0)+5)+INDEX(W:W,MATCH(W82,$S:$S,0)+6)+INDEX(W:W,MATCH(W82,$S:$S,0)+7))</f>
        <v>#N/A</v>
      </c>
      <c r="X85" s="375"/>
      <c r="Y85" s="374" t="e">
        <f>ABS(INDEX(Y:Y,MATCH(Y82,$S:$S,0)+5)+INDEX(Y:Y,MATCH(Y82,$S:$S,0)+6)+INDEX(Y:Y,MATCH(Y82,$S:$S,0)+7))</f>
        <v>#N/A</v>
      </c>
      <c r="Z85" s="375"/>
      <c r="AA85" s="374" t="e">
        <f>ABS(INDEX(AA:AA,MATCH(AA82,$S:$S,0)+5)+INDEX(AA:AA,MATCH(AA82,$S:$S,0)+6)+INDEX(AA:AA,MATCH(AA82,$S:$S,0)+7))</f>
        <v>#N/A</v>
      </c>
      <c r="AB85" s="375"/>
      <c r="AC85" s="374" t="e">
        <f>ABS(INDEX(AC:AC,MATCH(AC82,$S:$S,0)+5)+INDEX(AC:AC,MATCH(AC82,$S:$S,0)+6)+INDEX(AC:AC,MATCH(AC82,$S:$S,0)+7))</f>
        <v>#N/A</v>
      </c>
      <c r="AD85" s="375"/>
      <c r="AE85" s="374" t="e">
        <f>ABS(INDEX(AE:AE,MATCH(AE82,$S:$S,0)+5)+INDEX(AE:AE,MATCH(AE82,$S:$S,0)+6)+INDEX(AE:AE,MATCH(AE82,$S:$S,0)+7))</f>
        <v>#N/A</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2"/>
        <v>Spieler 2</v>
      </c>
      <c r="C86" s="379" t="str">
        <f t="shared" si="83"/>
        <v/>
      </c>
      <c r="D86" s="346" t="e">
        <f>IF(U86=301,"",U86)</f>
        <v>#N/A</v>
      </c>
      <c r="E86" s="346" t="str">
        <f>IF(V86=0,"",V86)</f>
        <v/>
      </c>
      <c r="F86" s="346" t="e">
        <f>IF(W86=301,"",W86)</f>
        <v>#N/A</v>
      </c>
      <c r="G86" s="346" t="str">
        <f>IF(X86=0,"",X86)</f>
        <v/>
      </c>
      <c r="H86" s="346" t="e">
        <f>IF(Y86=301,"",Y86)</f>
        <v>#N/A</v>
      </c>
      <c r="I86" s="346" t="str">
        <f>IF(Z86=0,"",Z86)</f>
        <v/>
      </c>
      <c r="J86" s="346" t="e">
        <f>IF(AA86=301,"",AA86)</f>
        <v>#N/A</v>
      </c>
      <c r="K86" s="346" t="str">
        <f>IF(AB86=0,"",AB86)</f>
        <v/>
      </c>
      <c r="L86" s="346" t="e">
        <f>IF(AC86=301,"",AC86)</f>
        <v>#N/A</v>
      </c>
      <c r="M86" s="346" t="str">
        <f>IF(AD86=0,"",AD86)</f>
        <v/>
      </c>
      <c r="N86" s="354"/>
      <c r="O86" s="354"/>
      <c r="S86" s="35" t="s">
        <v>2</v>
      </c>
      <c r="T86" s="36"/>
      <c r="U86" s="376" t="e">
        <f>ABS(INDEX(U:U,MATCH(U82,$S:$S,0)+8)+INDEX(U:U,MATCH(U82,$S:$S,0)+9)+INDEX(U:U,MATCH(U82,$S:$S,0)+10))</f>
        <v>#N/A</v>
      </c>
      <c r="V86" s="377"/>
      <c r="W86" s="376" t="e">
        <f>ABS(INDEX(W:W,MATCH(W82,$S:$S,0)+8)+INDEX(W:W,MATCH(W82,$S:$S,0)+9)+INDEX(W:W,MATCH(W82,$S:$S,0)+10))</f>
        <v>#N/A</v>
      </c>
      <c r="X86" s="377"/>
      <c r="Y86" s="376" t="e">
        <f>ABS(INDEX(Y:Y,MATCH(Y82,$S:$S,0)+8)+INDEX(Y:Y,MATCH(Y82,$S:$S,0)+9)+INDEX(Y:Y,MATCH(Y82,$S:$S,0)+10))</f>
        <v>#N/A</v>
      </c>
      <c r="Z86" s="377"/>
      <c r="AA86" s="376" t="e">
        <f>ABS(INDEX(AA:AA,MATCH(AA82,$S:$S,0)+8)+INDEX(AA:AA,MATCH(AA82,$S:$S,0)+9)+INDEX(AA:AA,MATCH(AA82,$S:$S,0)+10))</f>
        <v>#N/A</v>
      </c>
      <c r="AB86" s="377"/>
      <c r="AC86" s="376" t="e">
        <f>ABS(INDEX(AC:AC,MATCH(AC82,$S:$S,0)+8)+INDEX(AC:AC,MATCH(AC82,$S:$S,0)+9)+INDEX(AC:AC,MATCH(AC82,$S:$S,0)+10))</f>
        <v>#N/A</v>
      </c>
      <c r="AD86" s="377"/>
      <c r="AE86" s="376" t="e">
        <f>ABS(INDEX(AE:AE,MATCH(AE82,$S:$S,0)+8)+INDEX(AE:AE,MATCH(AE82,$S:$S,0)+9)+INDEX(AE:AE,MATCH(AE82,$S:$S,0)+10))</f>
        <v>#N/A</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2"/>
        <v>Spieler 3</v>
      </c>
      <c r="C87" s="379" t="str">
        <f t="shared" si="83"/>
        <v/>
      </c>
      <c r="D87" s="346" t="e">
        <f>IF(U87=301,"",U87)</f>
        <v>#N/A</v>
      </c>
      <c r="E87" s="346" t="str">
        <f>IF(V87=0,"",V87)</f>
        <v/>
      </c>
      <c r="F87" s="346" t="e">
        <f>IF(W87=301,"",W87)</f>
        <v>#N/A</v>
      </c>
      <c r="G87" s="346" t="str">
        <f>IF(X87=0,"",X87)</f>
        <v/>
      </c>
      <c r="H87" s="346" t="e">
        <f>IF(Y87=301,"",Y87)</f>
        <v>#N/A</v>
      </c>
      <c r="I87" s="346" t="str">
        <f>IF(Z87=0,"",Z87)</f>
        <v/>
      </c>
      <c r="J87" s="346" t="e">
        <f>IF(AA87=301,"",AA87)</f>
        <v>#N/A</v>
      </c>
      <c r="K87" s="346" t="str">
        <f>IF(AB87=0,"",AB87)</f>
        <v/>
      </c>
      <c r="L87" s="346" t="e">
        <f>IF(AC87=301,"",AC87)</f>
        <v>#N/A</v>
      </c>
      <c r="M87" s="346" t="str">
        <f>IF(AD87=0,"",AD87)</f>
        <v/>
      </c>
      <c r="N87" s="354"/>
      <c r="O87" s="354"/>
      <c r="S87" s="35" t="s">
        <v>3</v>
      </c>
      <c r="T87" s="36"/>
      <c r="U87" s="376" t="e">
        <f>ABS(INDEX(U:U,MATCH(U82,$S:$S,0)+11)+INDEX(U:U,MATCH(U82,$S:$S,0)+12)+INDEX(U:U,MATCH(U82,$S:$S,0)+13))</f>
        <v>#N/A</v>
      </c>
      <c r="V87" s="377"/>
      <c r="W87" s="376" t="e">
        <f>ABS(INDEX(W:W,MATCH(W82,$S:$S,0)+11)+INDEX(W:W,MATCH(W82,$S:$S,0)+12)+INDEX(W:W,MATCH(W82,$S:$S,0)+13))</f>
        <v>#N/A</v>
      </c>
      <c r="X87" s="377"/>
      <c r="Y87" s="376" t="e">
        <f>ABS(INDEX(Y:Y,MATCH(Y82,$S:$S,0)+11)+INDEX(Y:Y,MATCH(Y82,$S:$S,0)+12)+INDEX(Y:Y,MATCH(Y82,$S:$S,0)+13))</f>
        <v>#N/A</v>
      </c>
      <c r="Z87" s="377"/>
      <c r="AA87" s="376" t="e">
        <f>ABS(INDEX(AA:AA,MATCH(AA82,$S:$S,0)+11)+INDEX(AA:AA,MATCH(AA82,$S:$S,0)+12)+INDEX(AA:AA,MATCH(AA82,$S:$S,0)+13))</f>
        <v>#N/A</v>
      </c>
      <c r="AB87" s="377"/>
      <c r="AC87" s="376" t="e">
        <f>ABS(INDEX(AC:AC,MATCH(AC82,$S:$S,0)+11)+INDEX(AC:AC,MATCH(AC82,$S:$S,0)+12)+INDEX(AC:AC,MATCH(AC82,$S:$S,0)+13))</f>
        <v>#N/A</v>
      </c>
      <c r="AD87" s="377"/>
      <c r="AE87" s="376" t="e">
        <f>ABS(INDEX(AE:AE,MATCH(AE82,$S:$S,0)+11)+INDEX(AE:AE,MATCH(AE82,$S:$S,0)+12)+INDEX(AE:AE,MATCH(AE82,$S:$S,0)+13))</f>
        <v>#N/A</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2"/>
        <v>Spieler 4</v>
      </c>
      <c r="C88" s="379" t="str">
        <f t="shared" si="83"/>
        <v/>
      </c>
      <c r="D88" s="346" t="e">
        <f>IF(U88=301,"",U88)</f>
        <v>#N/A</v>
      </c>
      <c r="E88" s="346" t="str">
        <f>IF(V88=0,"",V88)</f>
        <v/>
      </c>
      <c r="F88" s="346" t="e">
        <f>IF(W88=301,"",W88)</f>
        <v>#N/A</v>
      </c>
      <c r="G88" s="346" t="str">
        <f>IF(X88=0,"",X88)</f>
        <v/>
      </c>
      <c r="H88" s="346" t="e">
        <f>IF(Y88=301,"",Y88)</f>
        <v>#N/A</v>
      </c>
      <c r="I88" s="346" t="str">
        <f>IF(Z88=0,"",Z88)</f>
        <v/>
      </c>
      <c r="J88" s="346" t="e">
        <f>IF(AA88=301,"",AA88)</f>
        <v>#N/A</v>
      </c>
      <c r="K88" s="346" t="str">
        <f>IF(AB88=0,"",AB88)</f>
        <v/>
      </c>
      <c r="L88" s="346" t="e">
        <f>IF(AC88=301,"",AC88)</f>
        <v>#N/A</v>
      </c>
      <c r="M88" s="346" t="str">
        <f>IF(AD88=0,"",AD88)</f>
        <v/>
      </c>
      <c r="N88" s="354"/>
      <c r="O88" s="354"/>
      <c r="S88" s="35" t="s">
        <v>11</v>
      </c>
      <c r="T88" s="36"/>
      <c r="U88" s="376" t="e">
        <f>ABS(INDEX(U:U,MATCH(U82,$S:$S,0)+14)+INDEX(U:U,MATCH(U82,$S:$S,0)+15)+INDEX(U:U,MATCH(U82,$S:$S,0)+16))</f>
        <v>#N/A</v>
      </c>
      <c r="V88" s="377"/>
      <c r="W88" s="376" t="e">
        <f>ABS(INDEX(W:W,MATCH(W82,$S:$S,0)+14)+INDEX(W:W,MATCH(W82,$S:$S,0)+15)+INDEX(W:W,MATCH(W82,$S:$S,0)+16))</f>
        <v>#N/A</v>
      </c>
      <c r="X88" s="377"/>
      <c r="Y88" s="376" t="e">
        <f>ABS(INDEX(Y:Y,MATCH(Y82,$S:$S,0)+14)+INDEX(Y:Y,MATCH(Y82,$S:$S,0)+15)+INDEX(Y:Y,MATCH(Y82,$S:$S,0)+16))</f>
        <v>#N/A</v>
      </c>
      <c r="Z88" s="377"/>
      <c r="AA88" s="376" t="e">
        <f>ABS(INDEX(AA:AA,MATCH(AA82,$S:$S,0)+14)+INDEX(AA:AA,MATCH(AA82,$S:$S,0)+15)+INDEX(AA:AA,MATCH(AA82,$S:$S,0)+16))</f>
        <v>#N/A</v>
      </c>
      <c r="AB88" s="377"/>
      <c r="AC88" s="376" t="e">
        <f>ABS(INDEX(AC:AC,MATCH(AC82,$S:$S,0)+14)+INDEX(AC:AC,MATCH(AC82,$S:$S,0)+15)+INDEX(AC:AC,MATCH(AC82,$S:$S,0)+16))</f>
        <v>#N/A</v>
      </c>
      <c r="AD88" s="377"/>
      <c r="AE88" s="376" t="e">
        <f>ABS(INDEX(AE:AE,MATCH(AE82,$S:$S,0)+14)+INDEX(AE:AE,MATCH(AE82,$S:$S,0)+15)+INDEX(AE:AE,MATCH(AE82,$S:$S,0)+16))</f>
        <v>#N/A</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2"/>
        <v>Gesamt</v>
      </c>
      <c r="C89" s="349" t="str">
        <f t="shared" si="83"/>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00"/>
      <c r="O89" s="300"/>
      <c r="S89" s="37" t="s">
        <v>1788</v>
      </c>
      <c r="T89" s="38"/>
      <c r="U89" s="348" t="e">
        <f>SUM(U85:U88)</f>
        <v>#N/A</v>
      </c>
      <c r="V89" s="349"/>
      <c r="W89" s="348" t="e">
        <f>SUM(W85:W88)</f>
        <v>#N/A</v>
      </c>
      <c r="X89" s="349"/>
      <c r="Y89" s="348" t="e">
        <f>SUM(Y85:Y88)</f>
        <v>#N/A</v>
      </c>
      <c r="Z89" s="349"/>
      <c r="AA89" s="348" t="e">
        <f>SUM(AA85:AA88)</f>
        <v>#N/A</v>
      </c>
      <c r="AB89" s="349"/>
      <c r="AC89" s="348" t="e">
        <f>SUM(AC85:AC88)</f>
        <v>#N/A</v>
      </c>
      <c r="AD89" s="349"/>
      <c r="AE89" s="348" t="e">
        <f>SUM(AE85:AE88)</f>
        <v>#N/A</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G65:AH65"/>
    <mergeCell ref="AG5:AH5"/>
    <mergeCell ref="AC35:AD35"/>
    <mergeCell ref="AG35:AH35"/>
    <mergeCell ref="AC26:AD26"/>
    <mergeCell ref="AC27:AD27"/>
    <mergeCell ref="AC28:AD28"/>
    <mergeCell ref="AC29:AD29"/>
    <mergeCell ref="AE29:AF29"/>
    <mergeCell ref="AE35:AF35"/>
    <mergeCell ref="AC23:AD23"/>
    <mergeCell ref="AC57:AD57"/>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D55:E55"/>
    <mergeCell ref="F55:G55"/>
    <mergeCell ref="H55:I55"/>
    <mergeCell ref="J55:K55"/>
    <mergeCell ref="L55:M55"/>
    <mergeCell ref="N55:O55"/>
    <mergeCell ref="D54:E54"/>
    <mergeCell ref="F54:G54"/>
    <mergeCell ref="H54:I54"/>
    <mergeCell ref="J54:K54"/>
    <mergeCell ref="L54:M54"/>
    <mergeCell ref="N54:O54"/>
    <mergeCell ref="D53:E53"/>
    <mergeCell ref="F53:G53"/>
    <mergeCell ref="H53:I53"/>
    <mergeCell ref="J53:K53"/>
    <mergeCell ref="L53:M53"/>
    <mergeCell ref="N53:O53"/>
    <mergeCell ref="D52:E52"/>
    <mergeCell ref="F52:G52"/>
    <mergeCell ref="H52:I52"/>
    <mergeCell ref="J52:K52"/>
    <mergeCell ref="L52:M52"/>
    <mergeCell ref="N52:O52"/>
    <mergeCell ref="A46:A48"/>
    <mergeCell ref="E46:E48"/>
    <mergeCell ref="G46:G48"/>
    <mergeCell ref="I46:I48"/>
    <mergeCell ref="K46:K48"/>
    <mergeCell ref="M46:M48"/>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F26:G26"/>
    <mergeCell ref="H26:I26"/>
    <mergeCell ref="J26:K26"/>
    <mergeCell ref="L26:M26"/>
    <mergeCell ref="N26:O26"/>
    <mergeCell ref="D25:E25"/>
    <mergeCell ref="F25:G25"/>
    <mergeCell ref="H25:I25"/>
    <mergeCell ref="J25:K25"/>
    <mergeCell ref="L25:M25"/>
    <mergeCell ref="N25:O25"/>
    <mergeCell ref="H22:I22"/>
    <mergeCell ref="J22:K22"/>
    <mergeCell ref="L22:M22"/>
    <mergeCell ref="N22:O22"/>
    <mergeCell ref="D23:E23"/>
    <mergeCell ref="F23:G23"/>
    <mergeCell ref="H23:I23"/>
    <mergeCell ref="J23:K23"/>
    <mergeCell ref="L23:M23"/>
    <mergeCell ref="N23:O23"/>
    <mergeCell ref="A16:A18"/>
    <mergeCell ref="E16:E18"/>
    <mergeCell ref="G16:G18"/>
    <mergeCell ref="I16:I18"/>
    <mergeCell ref="K16:K18"/>
    <mergeCell ref="M16:M18"/>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0" t="str">
        <f>Schlüssel!$C$1</f>
        <v>Landesliga Nord Frauen</v>
      </c>
      <c r="B1" s="390"/>
      <c r="C1" s="390"/>
      <c r="D1" s="390"/>
      <c r="E1" s="390"/>
      <c r="F1" s="390"/>
      <c r="G1" s="390"/>
      <c r="H1" s="390"/>
      <c r="I1" s="390"/>
      <c r="J1" s="390"/>
      <c r="K1" s="390"/>
      <c r="L1" s="390"/>
      <c r="M1" s="390"/>
      <c r="N1" s="390"/>
      <c r="O1" s="390"/>
      <c r="P1" s="390"/>
      <c r="Q1" s="390"/>
      <c r="R1" s="51"/>
      <c r="S1" s="51"/>
      <c r="T1" s="51"/>
      <c r="U1" s="51"/>
      <c r="V1" s="51"/>
      <c r="W1" s="51"/>
      <c r="X1" s="51"/>
      <c r="Y1" s="51"/>
      <c r="AA1" s="223" t="s">
        <v>2086</v>
      </c>
    </row>
    <row r="2" spans="1:31" ht="28.5" customHeight="1" x14ac:dyDescent="0.25">
      <c r="A2" s="391" t="str">
        <f>"Saison "&amp;Spielorte!C18&amp;"     -     Spieltag "&amp;Erfassung1!AD2&amp;"     -     "&amp;TEXT(Erfassung1!AD1,"T. MMMM JJJJ")</f>
        <v>Saison 2024/2025     -     Spieltag 1     -     29.09.</v>
      </c>
      <c r="B2" s="391"/>
      <c r="C2" s="391"/>
      <c r="D2" s="391"/>
      <c r="E2" s="391"/>
      <c r="F2" s="391"/>
      <c r="G2" s="391"/>
      <c r="H2" s="391"/>
      <c r="I2" s="391"/>
      <c r="J2" s="391"/>
      <c r="K2" s="391"/>
      <c r="L2" s="391"/>
      <c r="M2" s="391"/>
      <c r="N2" s="391"/>
      <c r="O2" s="391"/>
      <c r="P2" s="391"/>
      <c r="Q2" s="391"/>
      <c r="R2" s="51"/>
      <c r="S2" s="51"/>
      <c r="T2" s="51"/>
      <c r="U2" s="51"/>
      <c r="V2" s="51"/>
      <c r="W2" s="51"/>
      <c r="X2" s="51"/>
      <c r="Y2" s="51"/>
    </row>
    <row r="3" spans="1:31" ht="28.5" customHeight="1" x14ac:dyDescent="0.25">
      <c r="A3" s="391" t="str">
        <f>Schlüssel!$C$2</f>
        <v>Nürnberg West Bowling</v>
      </c>
      <c r="B3" s="391"/>
      <c r="C3" s="391"/>
      <c r="D3" s="391"/>
      <c r="E3" s="391"/>
      <c r="F3" s="391"/>
      <c r="G3" s="391"/>
      <c r="H3" s="391"/>
      <c r="I3" s="391"/>
      <c r="J3" s="391"/>
      <c r="K3" s="391"/>
      <c r="L3" s="391"/>
      <c r="M3" s="391"/>
      <c r="N3" s="391"/>
      <c r="O3" s="391"/>
      <c r="P3" s="391"/>
      <c r="Q3" s="391"/>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c r="T5" s="51"/>
      <c r="U5" s="51"/>
      <c r="V5" s="51"/>
      <c r="W5" s="51"/>
      <c r="X5" s="51"/>
      <c r="Y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2" t="s">
        <v>1812</v>
      </c>
      <c r="C12" s="382"/>
      <c r="D12" s="382"/>
      <c r="E12" s="382"/>
      <c r="F12" s="382"/>
      <c r="G12" s="382"/>
      <c r="H12" s="382"/>
      <c r="I12" s="382"/>
      <c r="J12" s="382"/>
      <c r="K12" s="382"/>
      <c r="L12" s="382"/>
      <c r="M12" s="382"/>
      <c r="N12" s="382"/>
      <c r="O12" s="382"/>
      <c r="P12" s="382"/>
      <c r="Q12" s="382"/>
      <c r="R12" s="106"/>
      <c r="S12" s="106"/>
      <c r="T12" s="106"/>
      <c r="U12" s="106"/>
      <c r="V12" s="106"/>
      <c r="W12" s="106"/>
      <c r="X12" s="106"/>
      <c r="Y12" s="106"/>
      <c r="Z12" s="106"/>
    </row>
    <row r="13" spans="1:31" x14ac:dyDescent="0.25">
      <c r="C13" s="394"/>
      <c r="D13" s="394"/>
      <c r="E13" s="394"/>
      <c r="F13" s="394"/>
      <c r="G13" s="394"/>
      <c r="H13" s="394"/>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1" t="str">
        <f>IFERROR(ROUND(INDEX(Erfassung1!BT:BT,MATCH(1,Erfassung1!BW:BW,0)),0),"")&amp;"  /  "&amp;ROUND(IFERROR(ROUND(INDEX(Erfassung1!BT:BT,MATCH(1,Erfassung1!BW:BW,0)),0),"")/6,2)</f>
        <v>1042  /  173,67</v>
      </c>
      <c r="O17" s="381"/>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A1:Q1"/>
    <mergeCell ref="A2:Q2"/>
    <mergeCell ref="A3:Q3"/>
    <mergeCell ref="A5:A6"/>
    <mergeCell ref="C13:H13"/>
    <mergeCell ref="N17:O17"/>
    <mergeCell ref="B12:Q12"/>
    <mergeCell ref="K5:L5"/>
    <mergeCell ref="O5:P5"/>
    <mergeCell ref="Q5:Q6"/>
    <mergeCell ref="B5:B6"/>
    <mergeCell ref="C5:D5"/>
    <mergeCell ref="E5:F5"/>
    <mergeCell ref="G5:H5"/>
    <mergeCell ref="M5:N5"/>
    <mergeCell ref="I5:J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+Spielzettel2!M2</f>
        <v>2</v>
      </c>
      <c r="F6" s="325"/>
      <c r="P6" s="128" t="s">
        <v>1821</v>
      </c>
      <c r="Q6" s="326" t="str">
        <f>+Spielzettel2!L1</f>
        <v>13.10.</v>
      </c>
      <c r="R6" s="327">
        <v>0</v>
      </c>
      <c r="S6" s="327">
        <v>0</v>
      </c>
      <c r="T6" s="328">
        <v>0</v>
      </c>
      <c r="U6" s="61"/>
    </row>
    <row r="7" spans="2:21" x14ac:dyDescent="0.25">
      <c r="B7" s="60"/>
      <c r="C7" s="128"/>
      <c r="D7" s="128"/>
      <c r="U7" s="61"/>
    </row>
    <row r="8" spans="2:21" x14ac:dyDescent="0.25">
      <c r="B8" s="60"/>
      <c r="C8" s="128" t="s">
        <v>1822</v>
      </c>
      <c r="D8" s="128"/>
      <c r="E8" s="329" t="str">
        <f>+Spielzettel2!D2</f>
        <v>Nürnberg West Bowling</v>
      </c>
      <c r="F8" s="330"/>
      <c r="G8" s="330"/>
      <c r="H8" s="330">
        <v>0</v>
      </c>
      <c r="I8" s="330"/>
      <c r="J8" s="331"/>
      <c r="N8" s="128" t="s">
        <v>1823</v>
      </c>
      <c r="P8" s="329" t="str">
        <f>+Spielzettel2!D1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Schlüssel!$AG$1</f>
        <v>13.10.</v>
      </c>
      <c r="M1" s="353"/>
      <c r="N1" s="353"/>
      <c r="O1" s="353"/>
      <c r="P1" s="353"/>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VLOOKUP(B2,Schlüssel!$A$5:$DF$10,23)</f>
        <v>3</v>
      </c>
      <c r="E22" s="363"/>
      <c r="F22" s="363">
        <f>VLOOKUP(B2,Schlüssel!$A$5:$DF$10,24)</f>
        <v>3</v>
      </c>
      <c r="G22" s="363"/>
      <c r="H22" s="363">
        <f>VLOOKUP(B2,Schlüssel!$A$5:$DF$10,25)</f>
        <v>3</v>
      </c>
      <c r="I22" s="363"/>
      <c r="J22" s="363">
        <f>VLOOKUP(B2,Schlüssel!$A$5:$DF$10,26)</f>
        <v>3</v>
      </c>
      <c r="K22" s="363"/>
      <c r="L22" s="363">
        <f>VLOOKUP(B2,Schlüssel!$A$5:$DF$10,27)</f>
        <v>3</v>
      </c>
      <c r="M22" s="363"/>
      <c r="N22" s="363">
        <f>VLOOKUP(B2,Schlüssel!$A$5:$DF$10,28)</f>
        <v>3</v>
      </c>
      <c r="O22" s="363"/>
      <c r="P22" s="364"/>
      <c r="Q22" s="364"/>
    </row>
    <row r="23" spans="1:31" ht="28.5" customHeight="1" x14ac:dyDescent="0.25">
      <c r="B23" s="4"/>
      <c r="C23" s="1"/>
      <c r="D23" s="360" t="str">
        <f>VLOOKUP(D22,Schlüssel!$A$5:$K$10,2)</f>
        <v>Mainauenbowler Bayreuth Land</v>
      </c>
      <c r="E23" s="361"/>
      <c r="F23" s="360" t="str">
        <f>VLOOKUP(F22,Schlüssel!$A$5:$K$10,2)</f>
        <v>Mainauenbowler Bayreuth Land</v>
      </c>
      <c r="G23" s="361"/>
      <c r="H23" s="360" t="str">
        <f>VLOOKUP(H22,Schlüssel!$A$5:$K$10,2)</f>
        <v>Mainauenbowler Bayreuth Land</v>
      </c>
      <c r="I23" s="361"/>
      <c r="J23" s="360" t="str">
        <f>VLOOKUP(J22,Schlüssel!$A$5:$K$10,2)</f>
        <v>Mainauenbowler Bayreuth Land</v>
      </c>
      <c r="K23" s="361"/>
      <c r="L23" s="360" t="str">
        <f>VLOOKUP(L22,Schlüssel!$A$5:$K$10,2)</f>
        <v>Mainauenbowler Bayreuth Land</v>
      </c>
      <c r="M23" s="361"/>
      <c r="N23" s="360" t="str">
        <f>VLOOKUP(N22,Schlüssel!$A$5:$K$10,2)</f>
        <v>Mainauenbowler Bayreuth Land</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Schlüssel!$AG$1</f>
        <v>13.10.</v>
      </c>
      <c r="M30" s="353"/>
      <c r="N30" s="353"/>
      <c r="O30" s="353"/>
      <c r="P30" s="353"/>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VLOOKUP(B31,Schlüssel!$A$5:$DF$10,23)</f>
        <v>0</v>
      </c>
      <c r="E51" s="363"/>
      <c r="F51" s="363">
        <f>VLOOKUP(B31,Schlüssel!$A$5:$DF$10,24)</f>
        <v>0</v>
      </c>
      <c r="G51" s="363"/>
      <c r="H51" s="363">
        <f>VLOOKUP(B31,Schlüssel!$A$5:$DF$10,25)</f>
        <v>0</v>
      </c>
      <c r="I51" s="363"/>
      <c r="J51" s="363">
        <f>VLOOKUP(B31,Schlüssel!$A$5:$DF$10,26)</f>
        <v>0</v>
      </c>
      <c r="K51" s="363"/>
      <c r="L51" s="363">
        <f>VLOOKUP(B31,Schlüssel!$A$5:$DF$10,27)</f>
        <v>0</v>
      </c>
      <c r="M51" s="363"/>
      <c r="N51" s="363">
        <f>VLOOKUP(B31,Schlüssel!$A$5:$DF$10,28)</f>
        <v>0</v>
      </c>
      <c r="O51" s="363"/>
      <c r="P51" s="364"/>
      <c r="Q51" s="364"/>
    </row>
    <row r="52" spans="1:31" ht="28.5" customHeight="1" x14ac:dyDescent="0.25">
      <c r="B52" s="4"/>
      <c r="C52" s="1"/>
      <c r="D52" s="360" t="e">
        <f>VLOOKUP(D51,Schlüssel!$A$5:$K$10,2)</f>
        <v>#N/A</v>
      </c>
      <c r="E52" s="361"/>
      <c r="F52" s="360" t="e">
        <f>VLOOKUP(F51,Schlüssel!$A$5:$K$10,2)</f>
        <v>#N/A</v>
      </c>
      <c r="G52" s="361"/>
      <c r="H52" s="360" t="e">
        <f>VLOOKUP(H51,Schlüssel!$A$5:$K$10,2)</f>
        <v>#N/A</v>
      </c>
      <c r="I52" s="361"/>
      <c r="J52" s="360" t="e">
        <f>VLOOKUP(J51,Schlüssel!$A$5:$K$10,2)</f>
        <v>#N/A</v>
      </c>
      <c r="K52" s="361"/>
      <c r="L52" s="360" t="e">
        <f>VLOOKUP(L51,Schlüssel!$A$5:$K$10,2)</f>
        <v>#N/A</v>
      </c>
      <c r="M52" s="361"/>
      <c r="N52" s="360" t="e">
        <f>VLOOKUP(N51,Schlüssel!$A$5:$K$10,2)</f>
        <v>#N/A</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Schlüssel!$AG$1</f>
        <v>13.10.</v>
      </c>
      <c r="M59" s="353"/>
      <c r="N59" s="353"/>
      <c r="O59" s="353"/>
      <c r="P59" s="353"/>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VLOOKUP(B60,Schlüssel!$A$5:$DF$10,23)</f>
        <v>1</v>
      </c>
      <c r="E80" s="363"/>
      <c r="F80" s="363">
        <f>VLOOKUP(B60,Schlüssel!$A$5:$DF$10,24)</f>
        <v>1</v>
      </c>
      <c r="G80" s="363"/>
      <c r="H80" s="363">
        <f>VLOOKUP(B60,Schlüssel!$A$5:$DF$10,25)</f>
        <v>1</v>
      </c>
      <c r="I80" s="363"/>
      <c r="J80" s="363">
        <f>VLOOKUP(B60,Schlüssel!$A$5:$DF$10,26)</f>
        <v>1</v>
      </c>
      <c r="K80" s="363"/>
      <c r="L80" s="363">
        <f>VLOOKUP(B60,Schlüssel!$A$5:$DF$10,27)</f>
        <v>1</v>
      </c>
      <c r="M80" s="363"/>
      <c r="N80" s="363">
        <f>VLOOKUP(B60,Schlüssel!$A$5:$DF$10,28)</f>
        <v>1</v>
      </c>
      <c r="O80" s="363"/>
      <c r="P80" s="364"/>
      <c r="Q80" s="364"/>
    </row>
    <row r="81" spans="2:17" ht="28.5" customHeight="1" x14ac:dyDescent="0.25">
      <c r="B81" s="4"/>
      <c r="C81" s="1"/>
      <c r="D81" s="360" t="str">
        <f>VLOOKUP(D80,Schlüssel!$A$5:$K$10,2)</f>
        <v>Kleeblatt Fürth</v>
      </c>
      <c r="E81" s="361"/>
      <c r="F81" s="360" t="str">
        <f>VLOOKUP(F80,Schlüssel!$A$5:$K$10,2)</f>
        <v>Kleeblatt Fürth</v>
      </c>
      <c r="G81" s="361"/>
      <c r="H81" s="360" t="str">
        <f>VLOOKUP(H80,Schlüssel!$A$5:$K$10,2)</f>
        <v>Kleeblatt Fürth</v>
      </c>
      <c r="I81" s="361"/>
      <c r="J81" s="360" t="str">
        <f>VLOOKUP(J80,Schlüssel!$A$5:$K$10,2)</f>
        <v>Kleeblatt Fürth</v>
      </c>
      <c r="K81" s="361"/>
      <c r="L81" s="360" t="str">
        <f>VLOOKUP(L80,Schlüssel!$A$5:$K$10,2)</f>
        <v>Kleeblatt Fürth</v>
      </c>
      <c r="M81" s="361"/>
      <c r="N81" s="360" t="str">
        <f>VLOOKUP(N80,Schlüssel!$A$5:$K$10,2)</f>
        <v>Kleeblatt Fürth</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A39:A41"/>
    <mergeCell ref="E39:E41"/>
    <mergeCell ref="G39:G41"/>
    <mergeCell ref="I39:I41"/>
    <mergeCell ref="K39:K41"/>
    <mergeCell ref="Q39:Q41"/>
    <mergeCell ref="A36:A38"/>
    <mergeCell ref="E36:E38"/>
    <mergeCell ref="G36:G38"/>
    <mergeCell ref="I36:I38"/>
    <mergeCell ref="K36:K38"/>
    <mergeCell ref="M36:M38"/>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N34:O34"/>
    <mergeCell ref="O36:O38"/>
    <mergeCell ref="O39:O41"/>
    <mergeCell ref="O42:O44"/>
    <mergeCell ref="L30:P30"/>
    <mergeCell ref="M39:M41"/>
    <mergeCell ref="P29:Q29"/>
    <mergeCell ref="P28:Q28"/>
    <mergeCell ref="O45:O47"/>
    <mergeCell ref="Q36:Q38"/>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13.10.</v>
      </c>
      <c r="N1" s="366"/>
      <c r="O1" s="366"/>
      <c r="P1" s="368"/>
      <c r="Q1" s="368"/>
      <c r="R1" s="368"/>
      <c r="S1" s="7" t="s">
        <v>1798</v>
      </c>
      <c r="T1" s="25"/>
      <c r="U1" s="30" t="s">
        <v>1782</v>
      </c>
      <c r="V1" s="76" t="str">
        <f>Schlüssel!$C$1</f>
        <v>Landesliga Nord Frauen</v>
      </c>
      <c r="X1" s="25"/>
      <c r="Y1" s="25"/>
      <c r="Z1" s="25"/>
      <c r="AA1" s="25"/>
      <c r="AC1" s="29"/>
      <c r="AD1" s="353" t="str">
        <f>Schlüssel!$AG$1</f>
        <v>13.10.</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f>IF(U7=0,"",U7)</f>
        <v>111</v>
      </c>
      <c r="E7" s="350">
        <f>IF(V7="","",V7)</f>
        <v>0.5</v>
      </c>
      <c r="F7" s="14" t="str">
        <f t="shared" ref="F7:F20" si="0">IF(W7=0,"",W7)</f>
        <v/>
      </c>
      <c r="G7" s="350">
        <f>IF(X7="","",X7)</f>
        <v>0</v>
      </c>
      <c r="H7" s="14" t="str">
        <f t="shared" ref="H7:H20" si="1">IF(Y7=0,"",Y7)</f>
        <v/>
      </c>
      <c r="I7" s="350">
        <f>IF(Z7="","",Z7)</f>
        <v>0</v>
      </c>
      <c r="J7" s="14" t="str">
        <f t="shared" ref="J7:J20" si="2">IF(AA7=0,"",AA7)</f>
        <v/>
      </c>
      <c r="K7" s="350">
        <f>IF(AB7="","",AB7)</f>
        <v>0</v>
      </c>
      <c r="L7" s="14" t="str">
        <f t="shared" ref="L7:L20" si="3">IF(AC7=0,"",AC7)</f>
        <v/>
      </c>
      <c r="M7" s="350">
        <f>IF(AD7="","",AD7)</f>
        <v>0</v>
      </c>
      <c r="N7" s="14">
        <f t="shared" ref="N7:N20" si="4">IF(AG7=0,"",AG7)</f>
        <v>111</v>
      </c>
      <c r="O7" s="350">
        <f>IF(AH7="","",AH7)</f>
        <v>0.5</v>
      </c>
      <c r="R7" s="357"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f>IF(V10="","",V10)</f>
        <v>0</v>
      </c>
      <c r="F10" s="14" t="str">
        <f t="shared" si="0"/>
        <v/>
      </c>
      <c r="G10" s="350">
        <f>IF(X10="","",X10)</f>
        <v>0</v>
      </c>
      <c r="H10" s="14" t="str">
        <f t="shared" si="1"/>
        <v/>
      </c>
      <c r="I10" s="350">
        <f>IF(Z10="","",Z10)</f>
        <v>0</v>
      </c>
      <c r="J10" s="14" t="str">
        <f t="shared" si="2"/>
        <v/>
      </c>
      <c r="K10" s="350">
        <f>IF(AB10="","",AB10)</f>
        <v>0</v>
      </c>
      <c r="L10" s="14" t="str">
        <f t="shared" si="3"/>
        <v/>
      </c>
      <c r="M10" s="350">
        <f>IF(AD10="","",AD10)</f>
        <v>0</v>
      </c>
      <c r="N10" s="14" t="str">
        <f t="shared" si="4"/>
        <v/>
      </c>
      <c r="O10" s="350">
        <f>IF(AH10="","",AH10)</f>
        <v>0</v>
      </c>
      <c r="R10" s="357"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f>IF(V13="","",V13)</f>
        <v>0</v>
      </c>
      <c r="F13" s="14" t="str">
        <f t="shared" si="0"/>
        <v/>
      </c>
      <c r="G13" s="350">
        <f>IF(X13="","",X13)</f>
        <v>0</v>
      </c>
      <c r="H13" s="14" t="str">
        <f t="shared" si="1"/>
        <v/>
      </c>
      <c r="I13" s="350">
        <f>IF(Z13="","",Z13)</f>
        <v>0</v>
      </c>
      <c r="J13" s="14" t="str">
        <f t="shared" si="2"/>
        <v/>
      </c>
      <c r="K13" s="350">
        <f>IF(AB13="","",AB13)</f>
        <v>0</v>
      </c>
      <c r="L13" s="14" t="str">
        <f t="shared" si="3"/>
        <v/>
      </c>
      <c r="M13" s="350">
        <f>IF(AD13="","",AD13)</f>
        <v>0</v>
      </c>
      <c r="N13" s="14" t="str">
        <f t="shared" si="4"/>
        <v/>
      </c>
      <c r="O13" s="350">
        <f>IF(AH13="","",AH13)</f>
        <v>0</v>
      </c>
      <c r="R13" s="357"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f>IF(V16="","",V16)</f>
        <v>0</v>
      </c>
      <c r="F16" s="14" t="str">
        <f t="shared" si="0"/>
        <v/>
      </c>
      <c r="G16" s="350">
        <f>IF(X16="","",X16)</f>
        <v>0</v>
      </c>
      <c r="H16" s="14" t="str">
        <f t="shared" si="1"/>
        <v/>
      </c>
      <c r="I16" s="350">
        <f>IF(Z16="","",Z16)</f>
        <v>0</v>
      </c>
      <c r="J16" s="14" t="str">
        <f t="shared" si="2"/>
        <v/>
      </c>
      <c r="K16" s="350">
        <f>IF(AB16="","",AB16)</f>
        <v>0</v>
      </c>
      <c r="L16" s="14" t="str">
        <f t="shared" si="3"/>
        <v/>
      </c>
      <c r="M16" s="350">
        <f>IF(AD16="","",AD16)</f>
        <v>0</v>
      </c>
      <c r="N16" s="14" t="str">
        <f t="shared" si="4"/>
        <v/>
      </c>
      <c r="O16" s="350">
        <f>IF(AH16="","",AH16)</f>
        <v>0</v>
      </c>
      <c r="R16" s="357"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ref="L22:M24" si="25">IF(AC22=0,"",AC22)</f>
        <v>3</v>
      </c>
      <c r="M22" s="363" t="str">
        <f t="shared" si="25"/>
        <v/>
      </c>
      <c r="N22" s="364"/>
      <c r="O22" s="364"/>
      <c r="S22" s="13" t="s">
        <v>1786</v>
      </c>
      <c r="T22" s="5" t="s">
        <v>1787</v>
      </c>
      <c r="U22" s="369">
        <f>VLOOKUP($S2,Schlüssel!$A$5:$CX$10,23)</f>
        <v>3</v>
      </c>
      <c r="V22" s="370"/>
      <c r="W22" s="369">
        <f>VLOOKUP($S2,Schlüssel!$A$5:$DQ$10,24)</f>
        <v>3</v>
      </c>
      <c r="X22" s="370"/>
      <c r="Y22" s="369">
        <f>VLOOKUP($S2,Schlüssel!$A$5:$DQ$10,25)</f>
        <v>3</v>
      </c>
      <c r="Z22" s="370"/>
      <c r="AA22" s="369">
        <f>VLOOKUP($S2,Schlüssel!$A$5:$DQ$10,26)</f>
        <v>3</v>
      </c>
      <c r="AB22" s="370"/>
      <c r="AC22" s="369">
        <f>VLOOKUP($S2,Schlüssel!$A$5:$DQ$10,27)</f>
        <v>3</v>
      </c>
      <c r="AD22" s="370"/>
      <c r="AE22" s="369">
        <f>VLOOKUP($S2,Schlüssel!$A$5:$DQ$10,28)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str">
        <f t="shared" si="24"/>
        <v>Mainauenbowler Bayreuth Land</v>
      </c>
      <c r="E23" s="361" t="str">
        <f t="shared" si="24"/>
        <v/>
      </c>
      <c r="F23" s="360" t="str">
        <f t="shared" si="24"/>
        <v>Mainauenbowler Bayreuth Land</v>
      </c>
      <c r="G23" s="361" t="str">
        <f t="shared" si="24"/>
        <v/>
      </c>
      <c r="H23" s="360" t="str">
        <f t="shared" si="24"/>
        <v>Mainauenbowler Bayreuth Land</v>
      </c>
      <c r="I23" s="361" t="str">
        <f t="shared" si="24"/>
        <v/>
      </c>
      <c r="J23" s="360" t="str">
        <f t="shared" si="24"/>
        <v>Mainauenbowler Bayreuth Land</v>
      </c>
      <c r="K23" s="361" t="str">
        <f t="shared" si="24"/>
        <v/>
      </c>
      <c r="L23" s="360" t="str">
        <f t="shared" si="25"/>
        <v>Mainauenbowler Bayreuth Land</v>
      </c>
      <c r="M23" s="361" t="str">
        <f t="shared" si="25"/>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5"/>
        <v/>
      </c>
      <c r="M24" s="365"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111</v>
      </c>
      <c r="E25" s="346" t="str">
        <f>IF(V25=0,"",V25)</f>
        <v/>
      </c>
      <c r="F25" s="346">
        <f>IF(W25=301,"",W25)</f>
        <v>0</v>
      </c>
      <c r="G25" s="346" t="str">
        <f>IF(X25=0,"",X25)</f>
        <v/>
      </c>
      <c r="H25" s="346">
        <f>IF(Y25=301,"",Y25)</f>
        <v>0</v>
      </c>
      <c r="I25" s="346" t="str">
        <f>IF(Z25=0,"",Z25)</f>
        <v/>
      </c>
      <c r="J25" s="346">
        <f>IF(AA25=301,"",AA25)</f>
        <v>0</v>
      </c>
      <c r="K25" s="346" t="str">
        <f>IF(AB25=0,"",AB25)</f>
        <v/>
      </c>
      <c r="L25" s="346">
        <f>IF(AC25=301,"",AC25)</f>
        <v>0</v>
      </c>
      <c r="M25" s="346" t="str">
        <f>IF(AD25=0,"",AD25)</f>
        <v/>
      </c>
      <c r="N25" s="354"/>
      <c r="O25" s="354"/>
      <c r="S25" s="35" t="s">
        <v>0</v>
      </c>
      <c r="T25" s="36"/>
      <c r="U25" s="374">
        <f>ABS(INDEX(U:U,MATCH(U22,$S:$S,0)+5)+INDEX(U:U,MATCH(U22,$S:$S,0)+6)+INDEX(U:U,MATCH(U22,$S:$S,0)+7))</f>
        <v>111</v>
      </c>
      <c r="V25" s="375"/>
      <c r="W25" s="374">
        <f>ABS(INDEX(W:W,MATCH(W22,$S:$S,0)+5)+INDEX(W:W,MATCH(W22,$S:$S,0)+6)+INDEX(W:W,MATCH(W22,$S:$S,0)+7))</f>
        <v>0</v>
      </c>
      <c r="X25" s="375"/>
      <c r="Y25" s="374">
        <f>ABS(INDEX(Y:Y,MATCH(Y22,$S:$S,0)+5)+INDEX(Y:Y,MATCH(Y22,$S:$S,0)+6)+INDEX(Y:Y,MATCH(Y22,$S:$S,0)+7))</f>
        <v>0</v>
      </c>
      <c r="Z25" s="375"/>
      <c r="AA25" s="374">
        <f>ABS(INDEX(AA:AA,MATCH(AA22,$S:$S,0)+5)+INDEX(AA:AA,MATCH(AA22,$S:$S,0)+6)+INDEX(AA:AA,MATCH(AA22,$S:$S,0)+7))</f>
        <v>0</v>
      </c>
      <c r="AB25" s="375"/>
      <c r="AC25" s="374">
        <f>ABS(INDEX(AC:AC,MATCH(AC22,$S:$S,0)+5)+INDEX(AC:AC,MATCH(AC22,$S:$S,0)+6)+INDEX(AC:AC,MATCH(AC22,$S:$S,0)+7))</f>
        <v>0</v>
      </c>
      <c r="AD25" s="375"/>
      <c r="AE25" s="374">
        <f>ABS(INDEX(AE:AE,MATCH(AE22,$S:$S,0)+5)+INDEX(AE:AE,MATCH(AE22,$S:$S,0)+6)+INDEX(AE:AE,MATCH(AE22,$S:$S,0)+7))</f>
        <v>0</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0</v>
      </c>
      <c r="E26" s="346" t="str">
        <f>IF(V26=0,"",V26)</f>
        <v/>
      </c>
      <c r="F26" s="346">
        <f>IF(W26=301,"",W26)</f>
        <v>0</v>
      </c>
      <c r="G26" s="346" t="str">
        <f>IF(X26=0,"",X26)</f>
        <v/>
      </c>
      <c r="H26" s="346">
        <f>IF(Y26=301,"",Y26)</f>
        <v>0</v>
      </c>
      <c r="I26" s="346" t="str">
        <f>IF(Z26=0,"",Z26)</f>
        <v/>
      </c>
      <c r="J26" s="346">
        <f>IF(AA26=301,"",AA26)</f>
        <v>0</v>
      </c>
      <c r="K26" s="346" t="str">
        <f>IF(AB26=0,"",AB26)</f>
        <v/>
      </c>
      <c r="L26" s="346">
        <f>IF(AC26=301,"",AC26)</f>
        <v>0</v>
      </c>
      <c r="M26" s="346" t="str">
        <f>IF(AD26=0,"",AD26)</f>
        <v/>
      </c>
      <c r="N26" s="354"/>
      <c r="O26" s="354"/>
      <c r="S26" s="35" t="s">
        <v>2</v>
      </c>
      <c r="T26" s="36"/>
      <c r="U26" s="376">
        <f>ABS(INDEX(U:U,MATCH(U22,$S:$S,0)+8)+INDEX(U:U,MATCH(U22,$S:$S,0)+9)+INDEX(U:U,MATCH(U22,$S:$S,0)+10))</f>
        <v>0</v>
      </c>
      <c r="V26" s="377"/>
      <c r="W26" s="376">
        <f>ABS(INDEX(W:W,MATCH(W22,$S:$S,0)+8)+INDEX(W:W,MATCH(W22,$S:$S,0)+9)+INDEX(W:W,MATCH(W22,$S:$S,0)+10))</f>
        <v>0</v>
      </c>
      <c r="X26" s="377"/>
      <c r="Y26" s="376">
        <f>ABS(INDEX(Y:Y,MATCH(Y22,$S:$S,0)+8)+INDEX(Y:Y,MATCH(Y22,$S:$S,0)+9)+INDEX(Y:Y,MATCH(Y22,$S:$S,0)+10))</f>
        <v>0</v>
      </c>
      <c r="Z26" s="377"/>
      <c r="AA26" s="376">
        <f>ABS(INDEX(AA:AA,MATCH(AA22,$S:$S,0)+8)+INDEX(AA:AA,MATCH(AA22,$S:$S,0)+9)+INDEX(AA:AA,MATCH(AA22,$S:$S,0)+10))</f>
        <v>0</v>
      </c>
      <c r="AB26" s="377"/>
      <c r="AC26" s="376">
        <f>ABS(INDEX(AC:AC,MATCH(AC22,$S:$S,0)+8)+INDEX(AC:AC,MATCH(AC22,$S:$S,0)+9)+INDEX(AC:AC,MATCH(AC22,$S:$S,0)+10))</f>
        <v>0</v>
      </c>
      <c r="AD26" s="377"/>
      <c r="AE26" s="376">
        <f>ABS(INDEX(AE:AE,MATCH(AE22,$S:$S,0)+8)+INDEX(AE:AE,MATCH(AE22,$S:$S,0)+9)+INDEX(AE:AE,MATCH(AE22,$S:$S,0)+10))</f>
        <v>0</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0</v>
      </c>
      <c r="E27" s="346" t="str">
        <f>IF(V27=0,"",V27)</f>
        <v/>
      </c>
      <c r="F27" s="346">
        <f>IF(W27=301,"",W27)</f>
        <v>0</v>
      </c>
      <c r="G27" s="346" t="str">
        <f>IF(X27=0,"",X27)</f>
        <v/>
      </c>
      <c r="H27" s="346">
        <f>IF(Y27=301,"",Y27)</f>
        <v>0</v>
      </c>
      <c r="I27" s="346" t="str">
        <f>IF(Z27=0,"",Z27)</f>
        <v/>
      </c>
      <c r="J27" s="346">
        <f>IF(AA27=301,"",AA27)</f>
        <v>0</v>
      </c>
      <c r="K27" s="346" t="str">
        <f>IF(AB27=0,"",AB27)</f>
        <v/>
      </c>
      <c r="L27" s="346">
        <f>IF(AC27=301,"",AC27)</f>
        <v>0</v>
      </c>
      <c r="M27" s="346" t="str">
        <f>IF(AD27=0,"",AD27)</f>
        <v/>
      </c>
      <c r="N27" s="354"/>
      <c r="O27" s="354"/>
      <c r="S27" s="35" t="s">
        <v>3</v>
      </c>
      <c r="T27" s="36"/>
      <c r="U27" s="376">
        <f>ABS(INDEX(U:U,MATCH(U22,$S:$S,0)+11)+INDEX(U:U,MATCH(U22,$S:$S,0)+12)+INDEX(U:U,MATCH(U22,$S:$S,0)+13))</f>
        <v>0</v>
      </c>
      <c r="V27" s="377"/>
      <c r="W27" s="376">
        <f>ABS(INDEX(W:W,MATCH(W22,$S:$S,0)+11)+INDEX(W:W,MATCH(W22,$S:$S,0)+12)+INDEX(W:W,MATCH(W22,$S:$S,0)+13))</f>
        <v>0</v>
      </c>
      <c r="X27" s="377"/>
      <c r="Y27" s="376">
        <f>ABS(INDEX(Y:Y,MATCH(Y22,$S:$S,0)+11)+INDEX(Y:Y,MATCH(Y22,$S:$S,0)+12)+INDEX(Y:Y,MATCH(Y22,$S:$S,0)+13))</f>
        <v>0</v>
      </c>
      <c r="Z27" s="377"/>
      <c r="AA27" s="376">
        <f>ABS(INDEX(AA:AA,MATCH(AA22,$S:$S,0)+11)+INDEX(AA:AA,MATCH(AA22,$S:$S,0)+12)+INDEX(AA:AA,MATCH(AA22,$S:$S,0)+13))</f>
        <v>0</v>
      </c>
      <c r="AB27" s="377"/>
      <c r="AC27" s="376">
        <f>ABS(INDEX(AC:AC,MATCH(AC22,$S:$S,0)+11)+INDEX(AC:AC,MATCH(AC22,$S:$S,0)+12)+INDEX(AC:AC,MATCH(AC22,$S:$S,0)+13))</f>
        <v>0</v>
      </c>
      <c r="AD27" s="377"/>
      <c r="AE27" s="376">
        <f>ABS(INDEX(AE:AE,MATCH(AE22,$S:$S,0)+11)+INDEX(AE:AE,MATCH(AE22,$S:$S,0)+12)+INDEX(AE:AE,MATCH(AE22,$S:$S,0)+13))</f>
        <v>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0</v>
      </c>
      <c r="E28" s="346" t="str">
        <f>IF(V28=0,"",V28)</f>
        <v/>
      </c>
      <c r="F28" s="346">
        <f>IF(W28=301,"",W28)</f>
        <v>0</v>
      </c>
      <c r="G28" s="346" t="str">
        <f>IF(X28=0,"",X28)</f>
        <v/>
      </c>
      <c r="H28" s="346">
        <f>IF(Y28=301,"",Y28)</f>
        <v>0</v>
      </c>
      <c r="I28" s="346" t="str">
        <f>IF(Z28=0,"",Z28)</f>
        <v/>
      </c>
      <c r="J28" s="346">
        <f>IF(AA28=301,"",AA28)</f>
        <v>0</v>
      </c>
      <c r="K28" s="346" t="str">
        <f>IF(AB28=0,"",AB28)</f>
        <v/>
      </c>
      <c r="L28" s="346">
        <f>IF(AC28=301,"",AC28)</f>
        <v>0</v>
      </c>
      <c r="M28" s="346" t="str">
        <f>IF(AD28=0,"",AD28)</f>
        <v/>
      </c>
      <c r="N28" s="354"/>
      <c r="O28" s="354"/>
      <c r="S28" s="35" t="s">
        <v>11</v>
      </c>
      <c r="T28" s="36"/>
      <c r="U28" s="376">
        <f>ABS(INDEX(U:U,MATCH(U22,$S:$S,0)+14)+INDEX(U:U,MATCH(U22,$S:$S,0)+15)+INDEX(U:U,MATCH(U22,$S:$S,0)+16))</f>
        <v>0</v>
      </c>
      <c r="V28" s="377"/>
      <c r="W28" s="376">
        <f>ABS(INDEX(W:W,MATCH(W22,$S:$S,0)+14)+INDEX(W:W,MATCH(W22,$S:$S,0)+15)+INDEX(W:W,MATCH(W22,$S:$S,0)+16))</f>
        <v>0</v>
      </c>
      <c r="X28" s="377"/>
      <c r="Y28" s="376">
        <f>ABS(INDEX(Y:Y,MATCH(Y22,$S:$S,0)+14)+INDEX(Y:Y,MATCH(Y22,$S:$S,0)+15)+INDEX(Y:Y,MATCH(Y22,$S:$S,0)+16))</f>
        <v>0</v>
      </c>
      <c r="Z28" s="377"/>
      <c r="AA28" s="376">
        <f>ABS(INDEX(AA:AA,MATCH(AA22,$S:$S,0)+14)+INDEX(AA:AA,MATCH(AA22,$S:$S,0)+15)+INDEX(AA:AA,MATCH(AA22,$S:$S,0)+16))</f>
        <v>0</v>
      </c>
      <c r="AB28" s="377"/>
      <c r="AC28" s="376">
        <f>ABS(INDEX(AC:AC,MATCH(AC22,$S:$S,0)+14)+INDEX(AC:AC,MATCH(AC22,$S:$S,0)+15)+INDEX(AC:AC,MATCH(AC22,$S:$S,0)+16))</f>
        <v>0</v>
      </c>
      <c r="AD28" s="377"/>
      <c r="AE28" s="376">
        <f>ABS(INDEX(AE:AE,MATCH(AE22,$S:$S,0)+14)+INDEX(AE:AE,MATCH(AE22,$S:$S,0)+15)+INDEX(AE:AE,MATCH(AE22,$S:$S,0)+16))</f>
        <v>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111</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00"/>
      <c r="O29" s="300"/>
      <c r="S29" s="37" t="s">
        <v>1788</v>
      </c>
      <c r="T29" s="38"/>
      <c r="U29" s="348">
        <f>SUM(U25:U28)</f>
        <v>111</v>
      </c>
      <c r="V29" s="349"/>
      <c r="W29" s="348">
        <f>SUM(W25:W28)</f>
        <v>0</v>
      </c>
      <c r="X29" s="349"/>
      <c r="Y29" s="348">
        <f>SUM(Y25:Y28)</f>
        <v>0</v>
      </c>
      <c r="Z29" s="349"/>
      <c r="AA29" s="348">
        <f>SUM(AA25:AA28)</f>
        <v>0</v>
      </c>
      <c r="AB29" s="349"/>
      <c r="AC29" s="348">
        <f>SUM(AC25:AC28)</f>
        <v>0</v>
      </c>
      <c r="AD29" s="349"/>
      <c r="AE29" s="348">
        <f>SUM(AE25:AE28)</f>
        <v>0</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13.10.</v>
      </c>
      <c r="N31" s="366"/>
      <c r="O31" s="366"/>
      <c r="P31" s="368"/>
      <c r="Q31" s="368"/>
      <c r="R31" s="368"/>
      <c r="S31" s="7" t="s">
        <v>1798</v>
      </c>
      <c r="T31" s="25"/>
      <c r="U31" s="30" t="s">
        <v>1782</v>
      </c>
      <c r="V31" s="76" t="str">
        <f>Schlüssel!$C$1</f>
        <v>Landesliga Nord Frauen</v>
      </c>
      <c r="X31" s="25"/>
      <c r="Y31" s="25"/>
      <c r="Z31" s="25"/>
      <c r="AA31" s="25"/>
      <c r="AC31" s="29"/>
      <c r="AD31" s="353" t="str">
        <f>Schlüssel!$AG$1</f>
        <v>13.10.</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7">IF(W37=0,"",W37)</f>
        <v/>
      </c>
      <c r="G37" s="350" t="e">
        <f>IF(X37="","",X37)</f>
        <v>#N/A</v>
      </c>
      <c r="H37" s="14" t="str">
        <f t="shared" ref="H37:H50" si="28">IF(Y37=0,"",Y37)</f>
        <v/>
      </c>
      <c r="I37" s="350" t="e">
        <f>IF(Z37="","",Z37)</f>
        <v>#N/A</v>
      </c>
      <c r="J37" s="14" t="str">
        <f t="shared" ref="J37:J50" si="29">IF(AA37=0,"",AA37)</f>
        <v/>
      </c>
      <c r="K37" s="350" t="e">
        <f>IF(AB37="","",AB37)</f>
        <v>#N/A</v>
      </c>
      <c r="L37" s="14" t="str">
        <f t="shared" ref="L37:L50" si="30">IF(AC37=0,"",AC37)</f>
        <v/>
      </c>
      <c r="M37" s="350" t="e">
        <f>IF(AD37="","",AD37)</f>
        <v>#N/A</v>
      </c>
      <c r="N37" s="14" t="str">
        <f t="shared" ref="N37:N50" si="31">IF(AG37=0,"",AG37)</f>
        <v/>
      </c>
      <c r="O37" s="350" t="e">
        <f>IF(AH37="","",AH37)</f>
        <v>#N/A</v>
      </c>
      <c r="R37" s="357"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1" t="s">
        <v>2</v>
      </c>
      <c r="B40" s="17" t="str">
        <f t="shared" si="48"/>
        <v/>
      </c>
      <c r="C40" s="18" t="str">
        <f t="shared" si="48"/>
        <v/>
      </c>
      <c r="D40" s="14" t="str">
        <f t="shared" si="48"/>
        <v/>
      </c>
      <c r="E40" s="350" t="e">
        <f>IF(V40="","",V40)</f>
        <v>#N/A</v>
      </c>
      <c r="F40" s="14" t="str">
        <f t="shared" si="27"/>
        <v/>
      </c>
      <c r="G40" s="350" t="e">
        <f>IF(X40="","",X40)</f>
        <v>#N/A</v>
      </c>
      <c r="H40" s="14" t="str">
        <f t="shared" si="28"/>
        <v/>
      </c>
      <c r="I40" s="350" t="e">
        <f>IF(Z40="","",Z40)</f>
        <v>#N/A</v>
      </c>
      <c r="J40" s="14" t="str">
        <f t="shared" si="29"/>
        <v/>
      </c>
      <c r="K40" s="350" t="e">
        <f>IF(AB40="","",AB40)</f>
        <v>#N/A</v>
      </c>
      <c r="L40" s="14" t="str">
        <f t="shared" si="30"/>
        <v/>
      </c>
      <c r="M40" s="350" t="e">
        <f>IF(AD40="","",AD40)</f>
        <v>#N/A</v>
      </c>
      <c r="N40" s="14" t="str">
        <f t="shared" si="31"/>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1" t="s">
        <v>3</v>
      </c>
      <c r="B43" s="17" t="str">
        <f t="shared" si="48"/>
        <v/>
      </c>
      <c r="C43" s="18" t="str">
        <f t="shared" si="48"/>
        <v/>
      </c>
      <c r="D43" s="14" t="str">
        <f t="shared" si="48"/>
        <v/>
      </c>
      <c r="E43" s="350" t="e">
        <f>IF(V43="","",V43)</f>
        <v>#N/A</v>
      </c>
      <c r="F43" s="14" t="str">
        <f t="shared" si="27"/>
        <v/>
      </c>
      <c r="G43" s="350" t="e">
        <f>IF(X43="","",X43)</f>
        <v>#N/A</v>
      </c>
      <c r="H43" s="14" t="str">
        <f t="shared" si="28"/>
        <v/>
      </c>
      <c r="I43" s="350" t="e">
        <f>IF(Z43="","",Z43)</f>
        <v>#N/A</v>
      </c>
      <c r="J43" s="14" t="str">
        <f t="shared" si="29"/>
        <v/>
      </c>
      <c r="K43" s="350" t="e">
        <f>IF(AB43="","",AB43)</f>
        <v>#N/A</v>
      </c>
      <c r="L43" s="14" t="str">
        <f t="shared" si="30"/>
        <v/>
      </c>
      <c r="M43" s="350" t="e">
        <f>IF(AD43="","",AD43)</f>
        <v>#N/A</v>
      </c>
      <c r="N43" s="14" t="str">
        <f t="shared" si="31"/>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1" t="s">
        <v>11</v>
      </c>
      <c r="B46" s="17" t="str">
        <f>IF(S46=0,"",S46)</f>
        <v/>
      </c>
      <c r="C46" s="18" t="str">
        <f t="shared" si="48"/>
        <v/>
      </c>
      <c r="D46" s="14" t="str">
        <f t="shared" si="48"/>
        <v/>
      </c>
      <c r="E46" s="350" t="e">
        <f>IF(V46="","",V46)</f>
        <v>#N/A</v>
      </c>
      <c r="F46" s="14" t="str">
        <f t="shared" si="27"/>
        <v/>
      </c>
      <c r="G46" s="350" t="e">
        <f>IF(X46="","",X46)</f>
        <v>#N/A</v>
      </c>
      <c r="H46" s="14" t="str">
        <f t="shared" si="28"/>
        <v/>
      </c>
      <c r="I46" s="350" t="e">
        <f>IF(Z46="","",Z46)</f>
        <v>#N/A</v>
      </c>
      <c r="J46" s="14" t="str">
        <f t="shared" si="29"/>
        <v/>
      </c>
      <c r="K46" s="350" t="e">
        <f>IF(AB46="","",AB46)</f>
        <v>#N/A</v>
      </c>
      <c r="L46" s="14" t="str">
        <f t="shared" si="30"/>
        <v/>
      </c>
      <c r="M46" s="350" t="e">
        <f>IF(AD46="","",AD46)</f>
        <v>#N/A</v>
      </c>
      <c r="N46" s="14" t="str">
        <f t="shared" si="31"/>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3" t="str">
        <f t="shared" si="51"/>
        <v/>
      </c>
      <c r="E52" s="363" t="str">
        <f t="shared" si="51"/>
        <v/>
      </c>
      <c r="F52" s="363" t="str">
        <f t="shared" si="51"/>
        <v/>
      </c>
      <c r="G52" s="363" t="str">
        <f t="shared" si="51"/>
        <v/>
      </c>
      <c r="H52" s="363" t="str">
        <f t="shared" si="51"/>
        <v/>
      </c>
      <c r="I52" s="363" t="str">
        <f t="shared" si="51"/>
        <v/>
      </c>
      <c r="J52" s="363" t="str">
        <f t="shared" si="51"/>
        <v/>
      </c>
      <c r="K52" s="363" t="str">
        <f t="shared" si="51"/>
        <v/>
      </c>
      <c r="L52" s="363" t="str">
        <f t="shared" si="51"/>
        <v/>
      </c>
      <c r="M52" s="363" t="str">
        <f t="shared" si="51"/>
        <v/>
      </c>
      <c r="N52" s="364"/>
      <c r="O52" s="364"/>
      <c r="S52" s="13" t="s">
        <v>1786</v>
      </c>
      <c r="T52" s="5" t="s">
        <v>1787</v>
      </c>
      <c r="U52" s="369">
        <f>VLOOKUP($S32,Schlüssel!$A$5:$CX$10,23)</f>
        <v>0</v>
      </c>
      <c r="V52" s="370"/>
      <c r="W52" s="369">
        <f>VLOOKUP($S32,Schlüssel!$A$5:$DQ$10,24)</f>
        <v>0</v>
      </c>
      <c r="X52" s="370"/>
      <c r="Y52" s="369">
        <f>VLOOKUP($S32,Schlüssel!$A$5:$DQ$10,25)</f>
        <v>0</v>
      </c>
      <c r="Z52" s="370"/>
      <c r="AA52" s="369">
        <f>VLOOKUP($S32,Schlüssel!$A$5:$DQ$10,26)</f>
        <v>0</v>
      </c>
      <c r="AB52" s="370"/>
      <c r="AC52" s="369">
        <f>VLOOKUP($S32,Schlüssel!$A$5:$DQ$10,27)</f>
        <v>0</v>
      </c>
      <c r="AD52" s="370"/>
      <c r="AE52" s="369">
        <f>VLOOKUP($S32,Schlüssel!$A$5:$DQ$10,28)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60" t="e">
        <f t="shared" si="52"/>
        <v>#N/A</v>
      </c>
      <c r="E53" s="361" t="str">
        <f t="shared" si="52"/>
        <v/>
      </c>
      <c r="F53" s="360" t="e">
        <f t="shared" si="52"/>
        <v>#N/A</v>
      </c>
      <c r="G53" s="361" t="str">
        <f t="shared" si="52"/>
        <v/>
      </c>
      <c r="H53" s="360" t="e">
        <f t="shared" si="52"/>
        <v>#N/A</v>
      </c>
      <c r="I53" s="361" t="str">
        <f t="shared" si="52"/>
        <v/>
      </c>
      <c r="J53" s="360" t="e">
        <f t="shared" si="52"/>
        <v>#N/A</v>
      </c>
      <c r="K53" s="361" t="str">
        <f t="shared" si="52"/>
        <v/>
      </c>
      <c r="L53" s="360" t="e">
        <f t="shared" si="52"/>
        <v>#N/A</v>
      </c>
      <c r="M53" s="361" t="str">
        <f t="shared" si="52"/>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5" t="str">
        <f t="shared" si="52"/>
        <v/>
      </c>
      <c r="E54" s="365" t="str">
        <f t="shared" si="52"/>
        <v/>
      </c>
      <c r="F54" s="365" t="str">
        <f t="shared" si="52"/>
        <v/>
      </c>
      <c r="G54" s="365" t="str">
        <f t="shared" si="52"/>
        <v/>
      </c>
      <c r="H54" s="365" t="str">
        <f t="shared" si="52"/>
        <v/>
      </c>
      <c r="I54" s="365" t="str">
        <f t="shared" si="52"/>
        <v/>
      </c>
      <c r="J54" s="365" t="str">
        <f t="shared" si="52"/>
        <v/>
      </c>
      <c r="K54" s="365" t="str">
        <f t="shared" si="52"/>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13.10.</v>
      </c>
      <c r="N61" s="366"/>
      <c r="O61" s="366"/>
      <c r="P61" s="368"/>
      <c r="Q61" s="368"/>
      <c r="R61" s="368"/>
      <c r="S61" s="7" t="s">
        <v>1798</v>
      </c>
      <c r="T61" s="25"/>
      <c r="U61" s="30" t="s">
        <v>1782</v>
      </c>
      <c r="V61" s="76" t="str">
        <f>Schlüssel!$C$1</f>
        <v>Landesliga Nord Frauen</v>
      </c>
      <c r="X61" s="25"/>
      <c r="Y61" s="25"/>
      <c r="Z61" s="25"/>
      <c r="AA61" s="25"/>
      <c r="AC61" s="29"/>
      <c r="AD61" s="353" t="str">
        <f>Schlüssel!$AG$1</f>
        <v>13.10.</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f>IF(U67=0,"",U67)</f>
        <v>111</v>
      </c>
      <c r="E67" s="350">
        <f>IF(V67="","",V67)</f>
        <v>0.5</v>
      </c>
      <c r="F67" s="14" t="str">
        <f t="shared" ref="F67:F80" si="54">IF(W67=0,"",W67)</f>
        <v/>
      </c>
      <c r="G67" s="350">
        <f>IF(X67="","",X67)</f>
        <v>0</v>
      </c>
      <c r="H67" s="14" t="str">
        <f t="shared" ref="H67:H80" si="55">IF(Y67=0,"",Y67)</f>
        <v/>
      </c>
      <c r="I67" s="350">
        <f>IF(Z67="","",Z67)</f>
        <v>0</v>
      </c>
      <c r="J67" s="14" t="str">
        <f t="shared" ref="J67:J80" si="56">IF(AA67=0,"",AA67)</f>
        <v/>
      </c>
      <c r="K67" s="350">
        <f>IF(AB67="","",AB67)</f>
        <v>0</v>
      </c>
      <c r="L67" s="14" t="str">
        <f t="shared" ref="L67:L80" si="57">IF(AC67=0,"",AC67)</f>
        <v/>
      </c>
      <c r="M67" s="350">
        <f>IF(AD67="","",AD67)</f>
        <v>0</v>
      </c>
      <c r="N67" s="14">
        <f t="shared" ref="N67:N80" si="58">IF(AG67=0,"",AG67)</f>
        <v>111</v>
      </c>
      <c r="O67" s="350">
        <f>IF(AH67="","",AH67)</f>
        <v>0.5</v>
      </c>
      <c r="R67" s="357"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1" t="s">
        <v>2</v>
      </c>
      <c r="B70" s="17" t="str">
        <f t="shared" si="75"/>
        <v/>
      </c>
      <c r="C70" s="18" t="str">
        <f t="shared" si="75"/>
        <v/>
      </c>
      <c r="D70" s="14" t="str">
        <f t="shared" si="75"/>
        <v/>
      </c>
      <c r="E70" s="350">
        <f>IF(V70="","",V70)</f>
        <v>0</v>
      </c>
      <c r="F70" s="14" t="str">
        <f t="shared" si="54"/>
        <v/>
      </c>
      <c r="G70" s="350">
        <f>IF(X70="","",X70)</f>
        <v>0</v>
      </c>
      <c r="H70" s="14" t="str">
        <f t="shared" si="55"/>
        <v/>
      </c>
      <c r="I70" s="350">
        <f>IF(Z70="","",Z70)</f>
        <v>0</v>
      </c>
      <c r="J70" s="14" t="str">
        <f t="shared" si="56"/>
        <v/>
      </c>
      <c r="K70" s="350">
        <f>IF(AB70="","",AB70)</f>
        <v>0</v>
      </c>
      <c r="L70" s="14" t="str">
        <f t="shared" si="57"/>
        <v/>
      </c>
      <c r="M70" s="350">
        <f>IF(AD70="","",AD70)</f>
        <v>0</v>
      </c>
      <c r="N70" s="14" t="str">
        <f t="shared" si="58"/>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1" t="s">
        <v>3</v>
      </c>
      <c r="B73" s="17" t="str">
        <f t="shared" si="75"/>
        <v/>
      </c>
      <c r="C73" s="18" t="str">
        <f t="shared" si="75"/>
        <v/>
      </c>
      <c r="D73" s="14" t="str">
        <f t="shared" si="75"/>
        <v/>
      </c>
      <c r="E73" s="350">
        <f>IF(V73="","",V73)</f>
        <v>0</v>
      </c>
      <c r="F73" s="14" t="str">
        <f t="shared" si="54"/>
        <v/>
      </c>
      <c r="G73" s="350">
        <f>IF(X73="","",X73)</f>
        <v>0</v>
      </c>
      <c r="H73" s="14" t="str">
        <f t="shared" si="55"/>
        <v/>
      </c>
      <c r="I73" s="350">
        <f>IF(Z73="","",Z73)</f>
        <v>0</v>
      </c>
      <c r="J73" s="14" t="str">
        <f t="shared" si="56"/>
        <v/>
      </c>
      <c r="K73" s="350">
        <f>IF(AB73="","",AB73)</f>
        <v>0</v>
      </c>
      <c r="L73" s="14" t="str">
        <f t="shared" si="57"/>
        <v/>
      </c>
      <c r="M73" s="350">
        <f>IF(AD73="","",AD73)</f>
        <v>0</v>
      </c>
      <c r="N73" s="14" t="str">
        <f t="shared" si="58"/>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1" t="s">
        <v>11</v>
      </c>
      <c r="B76" s="17" t="str">
        <f>IF(S76=0,"",S76)</f>
        <v/>
      </c>
      <c r="C76" s="18" t="str">
        <f t="shared" si="75"/>
        <v/>
      </c>
      <c r="D76" s="14" t="str">
        <f t="shared" si="75"/>
        <v/>
      </c>
      <c r="E76" s="350">
        <f>IF(V76="","",V76)</f>
        <v>0</v>
      </c>
      <c r="F76" s="14" t="str">
        <f t="shared" si="54"/>
        <v/>
      </c>
      <c r="G76" s="350">
        <f>IF(X76="","",X76)</f>
        <v>0</v>
      </c>
      <c r="H76" s="14" t="str">
        <f t="shared" si="55"/>
        <v/>
      </c>
      <c r="I76" s="350">
        <f>IF(Z76="","",Z76)</f>
        <v>0</v>
      </c>
      <c r="J76" s="14" t="str">
        <f t="shared" si="56"/>
        <v/>
      </c>
      <c r="K76" s="350">
        <f>IF(AB76="","",AB76)</f>
        <v>0</v>
      </c>
      <c r="L76" s="14" t="str">
        <f t="shared" si="57"/>
        <v/>
      </c>
      <c r="M76" s="350">
        <f>IF(AD76="","",AD76)</f>
        <v>0</v>
      </c>
      <c r="N76" s="14" t="str">
        <f t="shared" si="58"/>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3">
        <f t="shared" si="78"/>
        <v>1</v>
      </c>
      <c r="E82" s="363" t="str">
        <f t="shared" si="78"/>
        <v/>
      </c>
      <c r="F82" s="363">
        <f t="shared" si="78"/>
        <v>1</v>
      </c>
      <c r="G82" s="363" t="str">
        <f t="shared" si="78"/>
        <v/>
      </c>
      <c r="H82" s="363">
        <f t="shared" si="78"/>
        <v>1</v>
      </c>
      <c r="I82" s="363" t="str">
        <f t="shared" si="78"/>
        <v/>
      </c>
      <c r="J82" s="363">
        <f t="shared" si="78"/>
        <v>1</v>
      </c>
      <c r="K82" s="363" t="str">
        <f t="shared" si="78"/>
        <v/>
      </c>
      <c r="L82" s="363">
        <f t="shared" si="78"/>
        <v>1</v>
      </c>
      <c r="M82" s="363" t="str">
        <f t="shared" si="78"/>
        <v/>
      </c>
      <c r="N82" s="364"/>
      <c r="O82" s="364"/>
      <c r="S82" s="13" t="s">
        <v>1786</v>
      </c>
      <c r="T82" s="5" t="s">
        <v>1787</v>
      </c>
      <c r="U82" s="369">
        <f>VLOOKUP($S62,Schlüssel!$A$5:$CX$10,23)</f>
        <v>1</v>
      </c>
      <c r="V82" s="370"/>
      <c r="W82" s="369">
        <f>VLOOKUP($S62,Schlüssel!$A$5:$DQ$10,24)</f>
        <v>1</v>
      </c>
      <c r="X82" s="370"/>
      <c r="Y82" s="369">
        <f>VLOOKUP($S62,Schlüssel!$A$5:$DQ$10,25)</f>
        <v>1</v>
      </c>
      <c r="Z82" s="370"/>
      <c r="AA82" s="369">
        <f>VLOOKUP($S62,Schlüssel!$A$5:$DQ$10,26)</f>
        <v>1</v>
      </c>
      <c r="AB82" s="370"/>
      <c r="AC82" s="369">
        <f>VLOOKUP($S62,Schlüssel!$A$5:$DQ$10,27)</f>
        <v>1</v>
      </c>
      <c r="AD82" s="370"/>
      <c r="AE82" s="369">
        <f>VLOOKUP($S62,Schlüssel!$A$5:$DQ$10,28)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60" t="str">
        <f t="shared" si="79"/>
        <v>Kleeblatt Fürth</v>
      </c>
      <c r="E83" s="361" t="str">
        <f t="shared" si="79"/>
        <v/>
      </c>
      <c r="F83" s="360" t="str">
        <f t="shared" si="79"/>
        <v>Kleeblatt Fürth</v>
      </c>
      <c r="G83" s="361" t="str">
        <f t="shared" si="79"/>
        <v/>
      </c>
      <c r="H83" s="360" t="str">
        <f t="shared" si="79"/>
        <v>Kleeblatt Fürth</v>
      </c>
      <c r="I83" s="361" t="str">
        <f t="shared" si="79"/>
        <v/>
      </c>
      <c r="J83" s="360" t="str">
        <f t="shared" si="79"/>
        <v>Kleeblatt Fürth</v>
      </c>
      <c r="K83" s="361" t="str">
        <f t="shared" si="79"/>
        <v/>
      </c>
      <c r="L83" s="360" t="str">
        <f t="shared" si="79"/>
        <v>Kleeblatt Fürth</v>
      </c>
      <c r="M83" s="361" t="str">
        <f t="shared" si="79"/>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5" t="str">
        <f t="shared" si="79"/>
        <v/>
      </c>
      <c r="E84" s="365" t="str">
        <f t="shared" si="79"/>
        <v/>
      </c>
      <c r="F84" s="365" t="str">
        <f t="shared" si="79"/>
        <v/>
      </c>
      <c r="G84" s="365" t="str">
        <f t="shared" si="79"/>
        <v/>
      </c>
      <c r="H84" s="365" t="str">
        <f t="shared" si="79"/>
        <v/>
      </c>
      <c r="I84" s="365" t="str">
        <f t="shared" si="79"/>
        <v/>
      </c>
      <c r="J84" s="365" t="str">
        <f t="shared" si="79"/>
        <v/>
      </c>
      <c r="K84" s="365" t="str">
        <f t="shared" si="79"/>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111</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111</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111</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111</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D5:E5"/>
    <mergeCell ref="F5:G5"/>
    <mergeCell ref="H5:I5"/>
    <mergeCell ref="J5:K5"/>
    <mergeCell ref="L5:M5"/>
    <mergeCell ref="N5:O5"/>
    <mergeCell ref="A7:A9"/>
    <mergeCell ref="E7:E9"/>
    <mergeCell ref="G7:G9"/>
    <mergeCell ref="I7:I9"/>
    <mergeCell ref="K7:K9"/>
    <mergeCell ref="M7:M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D24:E24"/>
    <mergeCell ref="F24:G24"/>
    <mergeCell ref="H24:I24"/>
    <mergeCell ref="J24:K24"/>
    <mergeCell ref="L24:M24"/>
    <mergeCell ref="D23:E23"/>
    <mergeCell ref="F23:G23"/>
    <mergeCell ref="H23:I23"/>
    <mergeCell ref="J23:K23"/>
    <mergeCell ref="L23:M23"/>
    <mergeCell ref="B26:C26"/>
    <mergeCell ref="D26:E26"/>
    <mergeCell ref="F26:G26"/>
    <mergeCell ref="H26:I26"/>
    <mergeCell ref="J26:K26"/>
    <mergeCell ref="L26:M26"/>
    <mergeCell ref="N26:O26"/>
    <mergeCell ref="B25:C25"/>
    <mergeCell ref="D25:E25"/>
    <mergeCell ref="F25:G25"/>
    <mergeCell ref="H25:I25"/>
    <mergeCell ref="J25:K25"/>
    <mergeCell ref="L25:M25"/>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D35:E35"/>
    <mergeCell ref="F35:G35"/>
    <mergeCell ref="H35:I35"/>
    <mergeCell ref="J35:K35"/>
    <mergeCell ref="L35:M35"/>
    <mergeCell ref="N35:O35"/>
    <mergeCell ref="A37:A39"/>
    <mergeCell ref="E37:E39"/>
    <mergeCell ref="G37:G39"/>
    <mergeCell ref="I37:I39"/>
    <mergeCell ref="K37:K39"/>
    <mergeCell ref="M37:M39"/>
    <mergeCell ref="O37:O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F53:G53"/>
    <mergeCell ref="H53:I53"/>
    <mergeCell ref="J53:K53"/>
    <mergeCell ref="L53:M53"/>
    <mergeCell ref="B56:C56"/>
    <mergeCell ref="D56:E56"/>
    <mergeCell ref="F56:G56"/>
    <mergeCell ref="H56:I56"/>
    <mergeCell ref="J56:K56"/>
    <mergeCell ref="L56:M56"/>
    <mergeCell ref="N56:O56"/>
    <mergeCell ref="B55:C55"/>
    <mergeCell ref="D55:E55"/>
    <mergeCell ref="F55:G55"/>
    <mergeCell ref="H55:I55"/>
    <mergeCell ref="J55:K55"/>
    <mergeCell ref="L55:M55"/>
    <mergeCell ref="B57:C57"/>
    <mergeCell ref="D57:E57"/>
    <mergeCell ref="F57:G57"/>
    <mergeCell ref="H57:I57"/>
    <mergeCell ref="J57:K57"/>
    <mergeCell ref="L57:M57"/>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D65:E65"/>
    <mergeCell ref="F65:G65"/>
    <mergeCell ref="H65:I65"/>
    <mergeCell ref="J65:K65"/>
    <mergeCell ref="L65:M65"/>
    <mergeCell ref="N65:O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U83:V83"/>
    <mergeCell ref="W83:X83"/>
    <mergeCell ref="Y83:Z83"/>
    <mergeCell ref="AA83:AB83"/>
    <mergeCell ref="AC83:AD83"/>
    <mergeCell ref="D83:E83"/>
    <mergeCell ref="F83:G83"/>
    <mergeCell ref="H83:I83"/>
    <mergeCell ref="J83:K83"/>
    <mergeCell ref="L83:M83"/>
    <mergeCell ref="N83:O83"/>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B87:C87"/>
    <mergeCell ref="D87:E87"/>
    <mergeCell ref="F87:G87"/>
    <mergeCell ref="H87:I87"/>
    <mergeCell ref="J87:K87"/>
    <mergeCell ref="L87:M87"/>
    <mergeCell ref="N85:O85"/>
    <mergeCell ref="B86:C86"/>
    <mergeCell ref="D86:E86"/>
    <mergeCell ref="F86:G86"/>
    <mergeCell ref="H86:I86"/>
    <mergeCell ref="J86:K86"/>
    <mergeCell ref="N87:O87"/>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90" t="str">
        <f>Schlüssel!$C$1</f>
        <v>Landesliga Nord Frauen</v>
      </c>
      <c r="B1" s="390"/>
      <c r="C1" s="390"/>
      <c r="D1" s="390"/>
      <c r="E1" s="390"/>
      <c r="F1" s="390"/>
      <c r="G1" s="390"/>
      <c r="H1" s="390"/>
      <c r="I1" s="390"/>
      <c r="J1" s="390"/>
      <c r="K1" s="390"/>
      <c r="L1" s="390"/>
      <c r="M1" s="390"/>
      <c r="N1" s="390"/>
      <c r="O1" s="390"/>
      <c r="P1" s="390"/>
      <c r="Q1" s="390"/>
      <c r="R1" s="51"/>
      <c r="S1" s="51"/>
      <c r="AA1" s="223" t="s">
        <v>2086</v>
      </c>
    </row>
    <row r="2" spans="1:31" ht="28.5" customHeight="1" x14ac:dyDescent="0.25">
      <c r="A2" s="391" t="str">
        <f>"Saison "&amp;Spielorte!C18&amp;"     -     Spieltag "&amp;Erfassung2!AD2&amp;"     -     "&amp;TEXT(Erfassung2!AD1,"T. MMMM JJJJ")</f>
        <v>Saison 2024/2025     -     Spieltag 2     -     13.10.</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+Erfassung2!V2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1" t="str">
        <f>IFERROR(ROUND(INDEX(Erfassung2!BT:BT,MATCH(1,Erfassung2!BW:BW,0)),0),"")&amp;"  /  "&amp;ROUND(IFERROR(ROUND(INDEX(Erfassung2!BT:BT,MATCH(1,Erfassung2!BW:BW,0)),0),"")/6,2)</f>
        <v>0  /  0</v>
      </c>
      <c r="O17" s="381"/>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90" t="str">
        <f>Schlüssel!$C$1</f>
        <v>Landesliga Nord Frauen</v>
      </c>
      <c r="B1" s="390"/>
      <c r="C1" s="390"/>
      <c r="D1" s="390"/>
      <c r="E1" s="390"/>
      <c r="F1" s="390"/>
      <c r="G1" s="390"/>
      <c r="H1" s="390"/>
      <c r="I1" s="390"/>
    </row>
    <row r="2" spans="1:15" ht="28.5" customHeight="1" x14ac:dyDescent="0.25">
      <c r="A2" s="391" t="str">
        <f>"Saison "&amp;Spielorte!C18&amp;"     -     Spieltag "&amp;Erfassung2!AD2&amp;"     -     "&amp;TEXT(Erfassung2!AD1,"T. MMMM JJJJ")</f>
        <v>Saison 2024/2025     -     Spieltag 2     -     13.10.</v>
      </c>
      <c r="B2" s="391"/>
      <c r="C2" s="391"/>
      <c r="D2" s="391"/>
      <c r="E2" s="391"/>
      <c r="F2" s="391"/>
      <c r="G2" s="391"/>
      <c r="H2" s="391"/>
      <c r="I2" s="391"/>
      <c r="J2" s="72"/>
      <c r="K2" s="72"/>
      <c r="L2" s="72"/>
      <c r="M2" s="72"/>
      <c r="N2" s="72"/>
      <c r="O2" s="72"/>
    </row>
    <row r="3" spans="1:15" ht="28.5" customHeight="1" x14ac:dyDescent="0.25">
      <c r="A3" s="390" t="s">
        <v>1859</v>
      </c>
      <c r="B3" s="390"/>
      <c r="C3" s="390"/>
      <c r="D3" s="390"/>
      <c r="E3" s="390"/>
      <c r="F3" s="390"/>
      <c r="G3" s="390"/>
      <c r="H3" s="390"/>
      <c r="I3" s="390"/>
      <c r="J3" s="72"/>
      <c r="K3" s="72"/>
      <c r="L3" s="72"/>
      <c r="M3" s="72"/>
      <c r="N3" s="72"/>
      <c r="O3" s="72"/>
    </row>
    <row r="4" spans="1:15" ht="28.5" customHeight="1" thickBot="1" x14ac:dyDescent="0.3">
      <c r="A4" s="218"/>
      <c r="B4" s="218"/>
      <c r="C4" s="87"/>
      <c r="D4" s="219"/>
      <c r="E4" s="219"/>
      <c r="F4" s="219"/>
      <c r="G4" s="219"/>
      <c r="H4" s="88"/>
      <c r="I4" s="162"/>
    </row>
    <row r="5" spans="1:15" x14ac:dyDescent="0.25">
      <c r="A5" s="392" t="s">
        <v>1800</v>
      </c>
      <c r="B5" s="387" t="s">
        <v>1801</v>
      </c>
      <c r="C5" s="383" t="s">
        <v>1804</v>
      </c>
      <c r="D5" s="384"/>
      <c r="E5" s="395" t="s">
        <v>1805</v>
      </c>
      <c r="F5" s="396"/>
      <c r="G5" s="383" t="s">
        <v>1788</v>
      </c>
      <c r="H5" s="384"/>
      <c r="I5" s="385" t="s">
        <v>1802</v>
      </c>
    </row>
    <row r="6" spans="1:15" ht="13.8" thickBot="1" x14ac:dyDescent="0.3">
      <c r="A6" s="393"/>
      <c r="B6" s="388"/>
      <c r="C6" s="73" t="s">
        <v>1796</v>
      </c>
      <c r="D6" s="74" t="s">
        <v>1797</v>
      </c>
      <c r="E6" s="73" t="s">
        <v>1796</v>
      </c>
      <c r="F6" s="74" t="s">
        <v>1797</v>
      </c>
      <c r="G6" s="73" t="s">
        <v>1796</v>
      </c>
      <c r="H6" s="74" t="s">
        <v>1797</v>
      </c>
      <c r="I6" s="386"/>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87</v>
      </c>
    </row>
    <row r="3" spans="1:16" x14ac:dyDescent="0.25">
      <c r="L3" s="108">
        <f>INDEX(Starter!A:A,ROW()-1)</f>
        <v>38735</v>
      </c>
      <c r="M3" s="108">
        <f>SUMIF(Erfassung2!BD:BD,L3,Erfassung2!BE:BE)</f>
        <v>0</v>
      </c>
      <c r="N3" s="108">
        <f>SUMIF(Erfassung2!BD:BD,L3,Erfassung2!BG:BG)</f>
        <v>0</v>
      </c>
      <c r="O3" s="108">
        <f t="shared" si="0"/>
        <v>0</v>
      </c>
      <c r="P3" s="108">
        <f t="shared" si="1"/>
        <v>87</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87</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110.999999981</v>
      </c>
      <c r="L5" s="108">
        <f>INDEX(Starter!A:A,ROW()-1)</f>
        <v>25478</v>
      </c>
      <c r="M5" s="108">
        <f>SUMIF(Erfassung2!BD:BD,L5,Erfassung2!BE:BE)</f>
        <v>0</v>
      </c>
      <c r="N5" s="108">
        <f>SUMIF(Erfassung2!BD:BD,L5,Erfassung2!BG:BG)</f>
        <v>0</v>
      </c>
      <c r="O5" s="108">
        <f t="shared" si="0"/>
        <v>0</v>
      </c>
      <c r="P5" s="108">
        <f t="shared" si="1"/>
        <v>87</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110.99999998</v>
      </c>
      <c r="L6" s="108">
        <f>INDEX(Starter!A:A,ROW()-1)</f>
        <v>7154</v>
      </c>
      <c r="M6" s="108">
        <f>SUMIF(Erfassung2!BD:BD,L6,Erfassung2!BE:BE)</f>
        <v>0</v>
      </c>
      <c r="N6" s="108">
        <f>SUMIF(Erfassung2!BD:BD,L6,Erfassung2!BG:BG)</f>
        <v>0</v>
      </c>
      <c r="O6" s="108">
        <f t="shared" si="0"/>
        <v>0</v>
      </c>
      <c r="P6" s="108">
        <f t="shared" si="1"/>
        <v>87</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110.99999997899999</v>
      </c>
      <c r="L7" s="108">
        <f>INDEX(Starter!A:A,ROW()-1)</f>
        <v>7956</v>
      </c>
      <c r="M7" s="108">
        <f>SUMIF(Erfassung2!BD:BD,L7,Erfassung2!BE:BE)</f>
        <v>0</v>
      </c>
      <c r="N7" s="108">
        <f>SUMIF(Erfassung2!BD:BD,L7,Erfassung2!BG:BG)</f>
        <v>0</v>
      </c>
      <c r="O7" s="108">
        <f t="shared" si="0"/>
        <v>0</v>
      </c>
      <c r="P7" s="108">
        <f t="shared" si="1"/>
        <v>87</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110.99999997800001</v>
      </c>
      <c r="L8" s="108">
        <f>INDEX(Starter!A:A,ROW()-1)</f>
        <v>38697</v>
      </c>
      <c r="M8" s="108">
        <f>SUMIF(Erfassung2!BD:BD,L8,Erfassung2!BE:BE)</f>
        <v>0</v>
      </c>
      <c r="N8" s="108">
        <f>SUMIF(Erfassung2!BD:BD,L8,Erfassung2!BG:BG)</f>
        <v>0</v>
      </c>
      <c r="O8" s="108">
        <f t="shared" si="0"/>
        <v>0</v>
      </c>
      <c r="P8" s="108">
        <f t="shared" si="1"/>
        <v>87</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110.999999977</v>
      </c>
      <c r="L9" s="108">
        <f>INDEX(Starter!A:A,ROW()-1)</f>
        <v>38512</v>
      </c>
      <c r="M9" s="108">
        <f>SUMIF(Erfassung2!BD:BD,L9,Erfassung2!BE:BE)</f>
        <v>0</v>
      </c>
      <c r="N9" s="108">
        <f>SUMIF(Erfassung2!BD:BD,L9,Erfassung2!BG:BG)</f>
        <v>0</v>
      </c>
      <c r="O9" s="108">
        <f t="shared" si="0"/>
        <v>0</v>
      </c>
      <c r="P9" s="108">
        <f t="shared" si="1"/>
        <v>87</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110.999999976</v>
      </c>
      <c r="L10" s="108">
        <f>INDEX(Starter!A:A,ROW()-1)</f>
        <v>7952</v>
      </c>
      <c r="M10" s="108">
        <f>SUMIF(Erfassung2!BD:BD,L10,Erfassung2!BE:BE)</f>
        <v>0</v>
      </c>
      <c r="N10" s="108">
        <f>SUMIF(Erfassung2!BD:BD,L10,Erfassung2!BG:BG)</f>
        <v>0</v>
      </c>
      <c r="O10" s="108">
        <f t="shared" si="0"/>
        <v>0</v>
      </c>
      <c r="P10" s="108">
        <f t="shared" si="1"/>
        <v>87</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110.99999997499999</v>
      </c>
      <c r="L11" s="108">
        <f>INDEX(Starter!A:A,ROW()-1)</f>
        <v>38825</v>
      </c>
      <c r="M11" s="108">
        <f>SUMIF(Erfassung2!BD:BD,L11,Erfassung2!BE:BE)</f>
        <v>0</v>
      </c>
      <c r="N11" s="108">
        <f>SUMIF(Erfassung2!BD:BD,L11,Erfassung2!BG:BG)</f>
        <v>0</v>
      </c>
      <c r="O11" s="108">
        <f t="shared" si="0"/>
        <v>0</v>
      </c>
      <c r="P11" s="108">
        <f t="shared" si="1"/>
        <v>87</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110.999999974</v>
      </c>
      <c r="L12" s="108">
        <f>INDEX(Starter!A:A,ROW()-1)</f>
        <v>38790</v>
      </c>
      <c r="M12" s="108">
        <f>SUMIF(Erfassung2!BD:BD,L12,Erfassung2!BE:BE)</f>
        <v>0</v>
      </c>
      <c r="N12" s="108">
        <f>SUMIF(Erfassung2!BD:BD,L12,Erfassung2!BG:BG)</f>
        <v>0</v>
      </c>
      <c r="O12" s="108">
        <f t="shared" si="0"/>
        <v>0</v>
      </c>
      <c r="P12" s="108">
        <f t="shared" si="1"/>
        <v>87</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110.999999973</v>
      </c>
      <c r="L13" s="108">
        <f>INDEX(Starter!A:A,ROW()-1)</f>
        <v>7709</v>
      </c>
      <c r="M13" s="108">
        <f>SUMIF(Erfassung2!BD:BD,L13,Erfassung2!BE:BE)</f>
        <v>0</v>
      </c>
      <c r="N13" s="108">
        <f>SUMIF(Erfassung2!BD:BD,L13,Erfassung2!BG:BG)</f>
        <v>0</v>
      </c>
      <c r="O13" s="108">
        <f t="shared" si="0"/>
        <v>0</v>
      </c>
      <c r="P13" s="108">
        <f t="shared" si="1"/>
        <v>87</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110.999999972</v>
      </c>
      <c r="L14" s="108">
        <f>INDEX(Starter!A:A,ROW()-1)</f>
        <v>38401</v>
      </c>
      <c r="M14" s="108">
        <f>SUMIF(Erfassung2!BD:BD,L14,Erfassung2!BE:BE)</f>
        <v>0</v>
      </c>
      <c r="N14" s="108">
        <f>SUMIF(Erfassung2!BD:BD,L14,Erfassung2!BG:BG)</f>
        <v>0</v>
      </c>
      <c r="O14" s="108">
        <f t="shared" si="0"/>
        <v>0</v>
      </c>
      <c r="P14" s="108">
        <f t="shared" si="1"/>
        <v>87</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110.99999997099999</v>
      </c>
      <c r="L15" s="108">
        <f>INDEX(Starter!A:A,ROW()-1)</f>
        <v>38607</v>
      </c>
      <c r="M15" s="108">
        <f>SUMIF(Erfassung2!BD:BD,L15,Erfassung2!BE:BE)</f>
        <v>0</v>
      </c>
      <c r="N15" s="108">
        <f>SUMIF(Erfassung2!BD:BD,L15,Erfassung2!BG:BG)</f>
        <v>0</v>
      </c>
      <c r="O15" s="108">
        <f t="shared" si="0"/>
        <v>0</v>
      </c>
      <c r="P15" s="108">
        <f t="shared" si="1"/>
        <v>87</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110.99999997</v>
      </c>
      <c r="L16" s="108">
        <f>INDEX(Starter!A:A,ROW()-1)</f>
        <v>25347</v>
      </c>
      <c r="M16" s="108">
        <f>SUMIF(Erfassung2!BD:BD,L16,Erfassung2!BE:BE)</f>
        <v>0</v>
      </c>
      <c r="N16" s="108">
        <f>SUMIF(Erfassung2!BD:BD,L16,Erfassung2!BG:BG)</f>
        <v>0</v>
      </c>
      <c r="O16" s="108">
        <f t="shared" si="0"/>
        <v>0</v>
      </c>
      <c r="P16" s="108">
        <f t="shared" si="1"/>
        <v>87</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110.999999969</v>
      </c>
      <c r="L17" s="108">
        <f>INDEX(Starter!A:A,ROW()-1)</f>
        <v>38798</v>
      </c>
      <c r="M17" s="108">
        <f>SUMIF(Erfassung2!BD:BD,L17,Erfassung2!BE:BE)</f>
        <v>0</v>
      </c>
      <c r="N17" s="108">
        <f>SUMIF(Erfassung2!BD:BD,L17,Erfassung2!BG:BG)</f>
        <v>0</v>
      </c>
      <c r="O17" s="108">
        <f t="shared" si="0"/>
        <v>0</v>
      </c>
      <c r="P17" s="108">
        <f t="shared" si="1"/>
        <v>87</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110.999999968</v>
      </c>
      <c r="L18" s="108">
        <f>INDEX(Starter!A:A,ROW()-1)</f>
        <v>38210</v>
      </c>
      <c r="M18" s="108">
        <f>SUMIF(Erfassung2!BD:BD,L18,Erfassung2!BE:BE)</f>
        <v>0</v>
      </c>
      <c r="N18" s="108">
        <f>SUMIF(Erfassung2!BD:BD,L18,Erfassung2!BG:BG)</f>
        <v>0</v>
      </c>
      <c r="O18" s="108">
        <f t="shared" si="0"/>
        <v>0</v>
      </c>
      <c r="P18" s="108">
        <f t="shared" si="1"/>
        <v>87</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110.99999996699999</v>
      </c>
      <c r="L19" s="108">
        <f>INDEX(Starter!A:A,ROW()-1)</f>
        <v>0</v>
      </c>
      <c r="M19" s="108">
        <f>SUMIF(Erfassung2!BD:BD,L19,Erfassung2!BE:BE)</f>
        <v>222</v>
      </c>
      <c r="N19" s="108">
        <f>SUMIF(Erfassung2!BD:BD,L19,Erfassung2!BG:BG)</f>
        <v>2</v>
      </c>
      <c r="O19" s="108">
        <f t="shared" si="0"/>
        <v>110.999999981</v>
      </c>
      <c r="P19" s="108">
        <f t="shared" si="1"/>
        <v>1</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110.999999966</v>
      </c>
      <c r="L20" s="108">
        <f>INDEX(Starter!A:A,ROW()-1)</f>
        <v>0</v>
      </c>
      <c r="M20" s="108">
        <f>SUMIF(Erfassung2!BD:BD,L20,Erfassung2!BE:BE)</f>
        <v>222</v>
      </c>
      <c r="N20" s="108">
        <f>SUMIF(Erfassung2!BD:BD,L20,Erfassung2!BG:BG)</f>
        <v>2</v>
      </c>
      <c r="O20" s="108">
        <f t="shared" si="0"/>
        <v>110.99999998</v>
      </c>
      <c r="P20" s="108">
        <f t="shared" si="1"/>
        <v>2</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110.999999965</v>
      </c>
      <c r="L21" s="108">
        <f>INDEX(Starter!A:A,ROW()-1)</f>
        <v>0</v>
      </c>
      <c r="M21" s="108">
        <f>SUMIF(Erfassung2!BD:BD,L21,Erfassung2!BE:BE)</f>
        <v>222</v>
      </c>
      <c r="N21" s="108">
        <f>SUMIF(Erfassung2!BD:BD,L21,Erfassung2!BG:BG)</f>
        <v>2</v>
      </c>
      <c r="O21" s="108">
        <f t="shared" si="0"/>
        <v>110.99999997899999</v>
      </c>
      <c r="P21" s="108">
        <f t="shared" si="1"/>
        <v>3</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110.999999964</v>
      </c>
      <c r="L22" s="108">
        <f>INDEX(Starter!A:A,ROW()-1)</f>
        <v>0</v>
      </c>
      <c r="M22" s="108">
        <f>SUMIF(Erfassung2!BD:BD,L22,Erfassung2!BE:BE)</f>
        <v>222</v>
      </c>
      <c r="N22" s="108">
        <f>SUMIF(Erfassung2!BD:BD,L22,Erfassung2!BG:BG)</f>
        <v>2</v>
      </c>
      <c r="O22" s="108">
        <f t="shared" si="0"/>
        <v>110.99999997800001</v>
      </c>
      <c r="P22" s="108">
        <f t="shared" si="1"/>
        <v>4</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110.99999996299999</v>
      </c>
      <c r="L23" s="108">
        <f>INDEX(Starter!A:A,ROW()-1)</f>
        <v>0</v>
      </c>
      <c r="M23" s="108">
        <f>SUMIF(Erfassung2!BD:BD,L23,Erfassung2!BE:BE)</f>
        <v>222</v>
      </c>
      <c r="N23" s="108">
        <f>SUMIF(Erfassung2!BD:BD,L23,Erfassung2!BG:BG)</f>
        <v>2</v>
      </c>
      <c r="O23" s="108">
        <f t="shared" si="0"/>
        <v>110.999999977</v>
      </c>
      <c r="P23" s="108">
        <f t="shared" si="1"/>
        <v>5</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110.999999962</v>
      </c>
      <c r="L24" s="108">
        <f>INDEX(Starter!A:A,ROW()-1)</f>
        <v>0</v>
      </c>
      <c r="M24" s="108">
        <f>SUMIF(Erfassung2!BD:BD,L24,Erfassung2!BE:BE)</f>
        <v>222</v>
      </c>
      <c r="N24" s="108">
        <f>SUMIF(Erfassung2!BD:BD,L24,Erfassung2!BG:BG)</f>
        <v>2</v>
      </c>
      <c r="O24" s="108">
        <f t="shared" si="0"/>
        <v>110.999999976</v>
      </c>
      <c r="P24" s="108">
        <f t="shared" si="1"/>
        <v>6</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110.999999961</v>
      </c>
      <c r="L25" s="108">
        <f>INDEX(Starter!A:A,ROW()-1)</f>
        <v>0</v>
      </c>
      <c r="M25" s="108">
        <f>SUMIF(Erfassung2!BD:BD,L25,Erfassung2!BE:BE)</f>
        <v>222</v>
      </c>
      <c r="N25" s="108">
        <f>SUMIF(Erfassung2!BD:BD,L25,Erfassung2!BG:BG)</f>
        <v>2</v>
      </c>
      <c r="O25" s="108">
        <f t="shared" si="0"/>
        <v>110.99999997499999</v>
      </c>
      <c r="P25" s="108">
        <f t="shared" si="1"/>
        <v>7</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110.99999996</v>
      </c>
      <c r="L26" s="108">
        <f>INDEX(Starter!A:A,ROW()-1)</f>
        <v>0</v>
      </c>
      <c r="M26" s="108">
        <f>SUMIF(Erfassung2!BD:BD,L26,Erfassung2!BE:BE)</f>
        <v>222</v>
      </c>
      <c r="N26" s="108">
        <f>SUMIF(Erfassung2!BD:BD,L26,Erfassung2!BG:BG)</f>
        <v>2</v>
      </c>
      <c r="O26" s="108">
        <f t="shared" si="0"/>
        <v>110.999999974</v>
      </c>
      <c r="P26" s="108">
        <f t="shared" si="1"/>
        <v>8</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110.99999995899999</v>
      </c>
      <c r="L27" s="108">
        <f>INDEX(Starter!A:A,ROW()-1)</f>
        <v>0</v>
      </c>
      <c r="M27" s="108">
        <f>SUMIF(Erfassung2!BD:BD,L27,Erfassung2!BE:BE)</f>
        <v>222</v>
      </c>
      <c r="N27" s="108">
        <f>SUMIF(Erfassung2!BD:BD,L27,Erfassung2!BG:BG)</f>
        <v>2</v>
      </c>
      <c r="O27" s="108">
        <f t="shared" si="0"/>
        <v>110.999999973</v>
      </c>
      <c r="P27" s="108">
        <f t="shared" si="1"/>
        <v>9</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110.999999958</v>
      </c>
      <c r="L28" s="108">
        <f>INDEX(Starter!A:A,ROW()-1)</f>
        <v>0</v>
      </c>
      <c r="M28" s="108">
        <f>SUMIF(Erfassung2!BD:BD,L28,Erfassung2!BE:BE)</f>
        <v>222</v>
      </c>
      <c r="N28" s="108">
        <f>SUMIF(Erfassung2!BD:BD,L28,Erfassung2!BG:BG)</f>
        <v>2</v>
      </c>
      <c r="O28" s="108">
        <f t="shared" si="0"/>
        <v>110.999999972</v>
      </c>
      <c r="P28" s="108">
        <f t="shared" si="1"/>
        <v>10</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110.999999957</v>
      </c>
      <c r="L29" s="108">
        <f>INDEX(Starter!A:A,ROW()-1)</f>
        <v>0</v>
      </c>
      <c r="M29" s="108">
        <f>SUMIF(Erfassung2!BD:BD,L29,Erfassung2!BE:BE)</f>
        <v>222</v>
      </c>
      <c r="N29" s="108">
        <f>SUMIF(Erfassung2!BD:BD,L29,Erfassung2!BG:BG)</f>
        <v>2</v>
      </c>
      <c r="O29" s="108">
        <f t="shared" si="0"/>
        <v>110.99999997099999</v>
      </c>
      <c r="P29" s="108">
        <f t="shared" si="1"/>
        <v>11</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110.999999956</v>
      </c>
      <c r="L30" s="108">
        <f>INDEX(Starter!A:A,ROW()-1)</f>
        <v>0</v>
      </c>
      <c r="M30" s="108">
        <f>SUMIF(Erfassung2!BD:BD,L30,Erfassung2!BE:BE)</f>
        <v>222</v>
      </c>
      <c r="N30" s="108">
        <f>SUMIF(Erfassung2!BD:BD,L30,Erfassung2!BG:BG)</f>
        <v>2</v>
      </c>
      <c r="O30" s="108">
        <f t="shared" si="0"/>
        <v>110.99999997</v>
      </c>
      <c r="P30" s="108">
        <f t="shared" si="1"/>
        <v>12</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110.99999995500001</v>
      </c>
      <c r="L31" s="108">
        <f>INDEX(Starter!A:A,ROW()-1)</f>
        <v>0</v>
      </c>
      <c r="M31" s="108">
        <f>SUMIF(Erfassung2!BD:BD,L31,Erfassung2!BE:BE)</f>
        <v>222</v>
      </c>
      <c r="N31" s="108">
        <f>SUMIF(Erfassung2!BD:BD,L31,Erfassung2!BG:BG)</f>
        <v>2</v>
      </c>
      <c r="O31" s="108">
        <f t="shared" si="0"/>
        <v>110.999999969</v>
      </c>
      <c r="P31" s="108">
        <f t="shared" si="1"/>
        <v>13</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110.999999954</v>
      </c>
      <c r="L32" s="108">
        <f>INDEX(Starter!A:A,ROW()-1)</f>
        <v>0</v>
      </c>
      <c r="M32" s="108">
        <f>SUMIF(Erfassung2!BD:BD,L32,Erfassung2!BE:BE)</f>
        <v>222</v>
      </c>
      <c r="N32" s="108">
        <f>SUMIF(Erfassung2!BD:BD,L32,Erfassung2!BG:BG)</f>
        <v>2</v>
      </c>
      <c r="O32" s="108">
        <f t="shared" si="0"/>
        <v>110.999999968</v>
      </c>
      <c r="P32" s="108">
        <f t="shared" si="1"/>
        <v>14</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110.999999953</v>
      </c>
      <c r="L33" s="108">
        <f>INDEX(Starter!A:A,ROW()-1)</f>
        <v>0</v>
      </c>
      <c r="M33" s="108">
        <f>SUMIF(Erfassung2!BD:BD,L33,Erfassung2!BE:BE)</f>
        <v>222</v>
      </c>
      <c r="N33" s="108">
        <f>SUMIF(Erfassung2!BD:BD,L33,Erfassung2!BG:BG)</f>
        <v>2</v>
      </c>
      <c r="O33" s="108">
        <f t="shared" si="0"/>
        <v>110.99999996699999</v>
      </c>
      <c r="P33" s="108">
        <f t="shared" si="1"/>
        <v>15</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110.999999952</v>
      </c>
      <c r="L34" s="108">
        <f>INDEX(Starter!A:A,ROW()-1)</f>
        <v>0</v>
      </c>
      <c r="M34" s="108">
        <f>SUMIF(Erfassung2!BD:BD,L34,Erfassung2!BE:BE)</f>
        <v>222</v>
      </c>
      <c r="N34" s="108">
        <f>SUMIF(Erfassung2!BD:BD,L34,Erfassung2!BG:BG)</f>
        <v>2</v>
      </c>
      <c r="O34" s="108">
        <f t="shared" si="0"/>
        <v>110.999999966</v>
      </c>
      <c r="P34" s="108">
        <f t="shared" si="1"/>
        <v>16</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110.99999995100001</v>
      </c>
      <c r="L35" s="108">
        <f>INDEX(Starter!A:A,ROW()-1)</f>
        <v>0</v>
      </c>
      <c r="M35" s="108">
        <f>SUMIF(Erfassung2!BD:BD,L35,Erfassung2!BE:BE)</f>
        <v>222</v>
      </c>
      <c r="N35" s="108">
        <f>SUMIF(Erfassung2!BD:BD,L35,Erfassung2!BG:BG)</f>
        <v>2</v>
      </c>
      <c r="O35" s="108">
        <f t="shared" si="0"/>
        <v>110.999999965</v>
      </c>
      <c r="P35" s="108">
        <f t="shared" si="1"/>
        <v>17</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110.99999995</v>
      </c>
      <c r="L36" s="108">
        <f>INDEX(Starter!A:A,ROW()-1)</f>
        <v>0</v>
      </c>
      <c r="M36" s="108">
        <f>SUMIF(Erfassung2!BD:BD,L36,Erfassung2!BE:BE)</f>
        <v>222</v>
      </c>
      <c r="N36" s="108">
        <f>SUMIF(Erfassung2!BD:BD,L36,Erfassung2!BG:BG)</f>
        <v>2</v>
      </c>
      <c r="O36" s="108">
        <f t="shared" si="0"/>
        <v>110.999999964</v>
      </c>
      <c r="P36" s="108">
        <f t="shared" si="1"/>
        <v>18</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110.999999949</v>
      </c>
      <c r="L37" s="108">
        <f>INDEX(Starter!A:A,ROW()-1)</f>
        <v>0</v>
      </c>
      <c r="M37" s="108">
        <f>SUMIF(Erfassung2!BD:BD,L37,Erfassung2!BE:BE)</f>
        <v>222</v>
      </c>
      <c r="N37" s="108">
        <f>SUMIF(Erfassung2!BD:BD,L37,Erfassung2!BG:BG)</f>
        <v>2</v>
      </c>
      <c r="O37" s="108">
        <f t="shared" si="0"/>
        <v>110.99999996299999</v>
      </c>
      <c r="P37" s="108">
        <f t="shared" si="1"/>
        <v>19</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110.999999948</v>
      </c>
      <c r="L38" s="108">
        <f>INDEX(Starter!A:A,ROW()-1)</f>
        <v>0</v>
      </c>
      <c r="M38" s="108">
        <f>SUMIF(Erfassung2!BD:BD,L38,Erfassung2!BE:BE)</f>
        <v>222</v>
      </c>
      <c r="N38" s="108">
        <f>SUMIF(Erfassung2!BD:BD,L38,Erfassung2!BG:BG)</f>
        <v>2</v>
      </c>
      <c r="O38" s="108">
        <f t="shared" si="0"/>
        <v>110.999999962</v>
      </c>
      <c r="P38" s="108">
        <f t="shared" si="1"/>
        <v>20</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110.99999994700001</v>
      </c>
      <c r="L39" s="108">
        <f>INDEX(Starter!A:A,ROW()-1)</f>
        <v>0</v>
      </c>
      <c r="M39" s="108">
        <f>SUMIF(Erfassung2!BD:BD,L39,Erfassung2!BE:BE)</f>
        <v>222</v>
      </c>
      <c r="N39" s="108">
        <f>SUMIF(Erfassung2!BD:BD,L39,Erfassung2!BG:BG)</f>
        <v>2</v>
      </c>
      <c r="O39" s="108">
        <f t="shared" si="0"/>
        <v>110.999999961</v>
      </c>
      <c r="P39" s="108">
        <f t="shared" si="1"/>
        <v>21</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110.999999946</v>
      </c>
      <c r="L40" s="108">
        <f>INDEX(Starter!A:A,ROW()-1)</f>
        <v>0</v>
      </c>
      <c r="M40" s="108">
        <f>SUMIF(Erfassung2!BD:BD,L40,Erfassung2!BE:BE)</f>
        <v>222</v>
      </c>
      <c r="N40" s="108">
        <f>SUMIF(Erfassung2!BD:BD,L40,Erfassung2!BG:BG)</f>
        <v>2</v>
      </c>
      <c r="O40" s="108">
        <f t="shared" si="0"/>
        <v>110.99999996</v>
      </c>
      <c r="P40" s="108">
        <f t="shared" si="1"/>
        <v>22</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110.999999945</v>
      </c>
      <c r="L41" s="108">
        <f>INDEX(Starter!A:A,ROW()-1)</f>
        <v>0</v>
      </c>
      <c r="M41" s="108">
        <f>SUMIF(Erfassung2!BD:BD,L41,Erfassung2!BE:BE)</f>
        <v>222</v>
      </c>
      <c r="N41" s="108">
        <f>SUMIF(Erfassung2!BD:BD,L41,Erfassung2!BG:BG)</f>
        <v>2</v>
      </c>
      <c r="O41" s="108">
        <f t="shared" si="0"/>
        <v>110.99999995899999</v>
      </c>
      <c r="P41" s="108">
        <f t="shared" si="1"/>
        <v>23</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110.999999944</v>
      </c>
      <c r="L42" s="108">
        <f>INDEX(Starter!A:A,ROW()-1)</f>
        <v>0</v>
      </c>
      <c r="M42" s="108">
        <f>SUMIF(Erfassung2!BD:BD,L42,Erfassung2!BE:BE)</f>
        <v>222</v>
      </c>
      <c r="N42" s="108">
        <f>SUMIF(Erfassung2!BD:BD,L42,Erfassung2!BG:BG)</f>
        <v>2</v>
      </c>
      <c r="O42" s="108">
        <f t="shared" si="0"/>
        <v>110.999999958</v>
      </c>
      <c r="P42" s="108">
        <f t="shared" si="1"/>
        <v>24</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110.99999994300001</v>
      </c>
      <c r="L43" s="108">
        <f>INDEX(Starter!A:A,ROW()-1)</f>
        <v>0</v>
      </c>
      <c r="M43" s="108">
        <f>SUMIF(Erfassung2!BD:BD,L43,Erfassung2!BE:BE)</f>
        <v>222</v>
      </c>
      <c r="N43" s="108">
        <f>SUMIF(Erfassung2!BD:BD,L43,Erfassung2!BG:BG)</f>
        <v>2</v>
      </c>
      <c r="O43" s="108">
        <f t="shared" si="0"/>
        <v>110.999999957</v>
      </c>
      <c r="P43" s="108">
        <f t="shared" si="1"/>
        <v>25</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110.999999942</v>
      </c>
      <c r="L44" s="108">
        <f>INDEX(Starter!A:A,ROW()-1)</f>
        <v>0</v>
      </c>
      <c r="M44" s="108">
        <f>SUMIF(Erfassung2!BD:BD,L44,Erfassung2!BE:BE)</f>
        <v>222</v>
      </c>
      <c r="N44" s="108">
        <f>SUMIF(Erfassung2!BD:BD,L44,Erfassung2!BG:BG)</f>
        <v>2</v>
      </c>
      <c r="O44" s="108">
        <f t="shared" si="0"/>
        <v>110.999999956</v>
      </c>
      <c r="P44" s="108">
        <f t="shared" si="1"/>
        <v>26</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110.999999941</v>
      </c>
      <c r="L45" s="108">
        <f>INDEX(Starter!A:A,ROW()-1)</f>
        <v>0</v>
      </c>
      <c r="M45" s="108">
        <f>SUMIF(Erfassung2!BD:BD,L45,Erfassung2!BE:BE)</f>
        <v>222</v>
      </c>
      <c r="N45" s="108">
        <f>SUMIF(Erfassung2!BD:BD,L45,Erfassung2!BG:BG)</f>
        <v>2</v>
      </c>
      <c r="O45" s="108">
        <f t="shared" si="0"/>
        <v>110.99999995500001</v>
      </c>
      <c r="P45" s="108">
        <f t="shared" si="1"/>
        <v>27</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110.99999994</v>
      </c>
      <c r="L46" s="108">
        <f>INDEX(Starter!A:A,ROW()-1)</f>
        <v>0</v>
      </c>
      <c r="M46" s="108">
        <f>SUMIF(Erfassung2!BD:BD,L46,Erfassung2!BE:BE)</f>
        <v>222</v>
      </c>
      <c r="N46" s="108">
        <f>SUMIF(Erfassung2!BD:BD,L46,Erfassung2!BG:BG)</f>
        <v>2</v>
      </c>
      <c r="O46" s="108">
        <f t="shared" si="0"/>
        <v>110.999999954</v>
      </c>
      <c r="P46" s="108">
        <f t="shared" si="1"/>
        <v>28</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110.99999993900001</v>
      </c>
      <c r="L47" s="108">
        <f>INDEX(Starter!A:A,ROW()-1)</f>
        <v>0</v>
      </c>
      <c r="M47" s="108">
        <f>SUMIF(Erfassung2!BD:BD,L47,Erfassung2!BE:BE)</f>
        <v>222</v>
      </c>
      <c r="N47" s="108">
        <f>SUMIF(Erfassung2!BD:BD,L47,Erfassung2!BG:BG)</f>
        <v>2</v>
      </c>
      <c r="O47" s="108">
        <f t="shared" si="0"/>
        <v>110.999999953</v>
      </c>
      <c r="P47" s="108">
        <f t="shared" si="1"/>
        <v>29</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110.999999938</v>
      </c>
      <c r="L48" s="108">
        <f>INDEX(Starter!A:A,ROW()-1)</f>
        <v>0</v>
      </c>
      <c r="M48" s="108">
        <f>SUMIF(Erfassung2!BD:BD,L48,Erfassung2!BE:BE)</f>
        <v>222</v>
      </c>
      <c r="N48" s="108">
        <f>SUMIF(Erfassung2!BD:BD,L48,Erfassung2!BG:BG)</f>
        <v>2</v>
      </c>
      <c r="O48" s="108">
        <f t="shared" si="0"/>
        <v>110.999999952</v>
      </c>
      <c r="P48" s="108">
        <f t="shared" si="1"/>
        <v>30</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110.999999937</v>
      </c>
      <c r="L49" s="108">
        <f>INDEX(Starter!A:A,ROW()-1)</f>
        <v>0</v>
      </c>
      <c r="M49" s="108">
        <f>SUMIF(Erfassung2!BD:BD,L49,Erfassung2!BE:BE)</f>
        <v>222</v>
      </c>
      <c r="N49" s="108">
        <f>SUMIF(Erfassung2!BD:BD,L49,Erfassung2!BG:BG)</f>
        <v>2</v>
      </c>
      <c r="O49" s="108">
        <f t="shared" si="0"/>
        <v>110.99999995100001</v>
      </c>
      <c r="P49" s="108">
        <f t="shared" si="1"/>
        <v>31</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110.99999993599999</v>
      </c>
      <c r="L50" s="108">
        <f>INDEX(Starter!A:A,ROW()-1)</f>
        <v>0</v>
      </c>
      <c r="M50" s="108">
        <f>SUMIF(Erfassung2!BD:BD,L50,Erfassung2!BE:BE)</f>
        <v>222</v>
      </c>
      <c r="N50" s="108">
        <f>SUMIF(Erfassung2!BD:BD,L50,Erfassung2!BG:BG)</f>
        <v>2</v>
      </c>
      <c r="O50" s="108">
        <f t="shared" si="0"/>
        <v>110.99999995</v>
      </c>
      <c r="P50" s="108">
        <f t="shared" si="1"/>
        <v>32</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110.99999993500001</v>
      </c>
      <c r="L51" s="108">
        <f>INDEX(Starter!A:A,ROW()-1)</f>
        <v>0</v>
      </c>
      <c r="M51" s="108">
        <f>SUMIF(Erfassung2!BD:BD,L51,Erfassung2!BE:BE)</f>
        <v>222</v>
      </c>
      <c r="N51" s="108">
        <f>SUMIF(Erfassung2!BD:BD,L51,Erfassung2!BG:BG)</f>
        <v>2</v>
      </c>
      <c r="O51" s="108">
        <f t="shared" si="0"/>
        <v>110.999999949</v>
      </c>
      <c r="P51" s="108">
        <f t="shared" si="1"/>
        <v>33</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110.999999934</v>
      </c>
      <c r="L52" s="108">
        <f>INDEX(Starter!A:A,ROW()-1)</f>
        <v>0</v>
      </c>
      <c r="M52" s="108">
        <f>SUMIF(Erfassung2!BD:BD,L52,Erfassung2!BE:BE)</f>
        <v>222</v>
      </c>
      <c r="N52" s="108">
        <f>SUMIF(Erfassung2!BD:BD,L52,Erfassung2!BG:BG)</f>
        <v>2</v>
      </c>
      <c r="O52" s="108">
        <f t="shared" si="0"/>
        <v>110.999999948</v>
      </c>
      <c r="P52" s="108">
        <f t="shared" si="1"/>
        <v>34</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110.999999933</v>
      </c>
      <c r="L53" s="108">
        <f>INDEX(Starter!A:A,ROW()-1)</f>
        <v>0</v>
      </c>
      <c r="M53" s="108">
        <f>SUMIF(Erfassung2!BD:BD,L53,Erfassung2!BE:BE)</f>
        <v>222</v>
      </c>
      <c r="N53" s="108">
        <f>SUMIF(Erfassung2!BD:BD,L53,Erfassung2!BG:BG)</f>
        <v>2</v>
      </c>
      <c r="O53" s="108">
        <f t="shared" si="0"/>
        <v>110.99999994700001</v>
      </c>
      <c r="P53" s="108">
        <f t="shared" si="1"/>
        <v>35</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110.99999993199999</v>
      </c>
      <c r="L54" s="108">
        <f>INDEX(Starter!A:A,ROW()-1)</f>
        <v>0</v>
      </c>
      <c r="M54" s="108">
        <f>SUMIF(Erfassung2!BD:BD,L54,Erfassung2!BE:BE)</f>
        <v>222</v>
      </c>
      <c r="N54" s="108">
        <f>SUMIF(Erfassung2!BD:BD,L54,Erfassung2!BG:BG)</f>
        <v>2</v>
      </c>
      <c r="O54" s="108">
        <f t="shared" si="0"/>
        <v>110.999999946</v>
      </c>
      <c r="P54" s="108">
        <f t="shared" si="1"/>
        <v>36</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110.999999931</v>
      </c>
      <c r="L55" s="108">
        <f>INDEX(Starter!A:A,ROW()-1)</f>
        <v>0</v>
      </c>
      <c r="M55" s="108">
        <f>SUMIF(Erfassung2!BD:BD,L55,Erfassung2!BE:BE)</f>
        <v>222</v>
      </c>
      <c r="N55" s="108">
        <f>SUMIF(Erfassung2!BD:BD,L55,Erfassung2!BG:BG)</f>
        <v>2</v>
      </c>
      <c r="O55" s="108">
        <f t="shared" si="0"/>
        <v>110.999999945</v>
      </c>
      <c r="P55" s="108">
        <f t="shared" si="1"/>
        <v>37</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110.99999993</v>
      </c>
      <c r="L56" s="108">
        <f>INDEX(Starter!A:A,ROW()-1)</f>
        <v>0</v>
      </c>
      <c r="M56" s="108">
        <f>SUMIF(Erfassung2!BD:BD,L56,Erfassung2!BE:BE)</f>
        <v>222</v>
      </c>
      <c r="N56" s="108">
        <f>SUMIF(Erfassung2!BD:BD,L56,Erfassung2!BG:BG)</f>
        <v>2</v>
      </c>
      <c r="O56" s="108">
        <f t="shared" si="0"/>
        <v>110.999999944</v>
      </c>
      <c r="P56" s="108">
        <f t="shared" si="1"/>
        <v>38</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110.999999929</v>
      </c>
      <c r="L57" s="108">
        <f>INDEX(Starter!A:A,ROW()-1)</f>
        <v>0</v>
      </c>
      <c r="M57" s="108">
        <f>SUMIF(Erfassung2!BD:BD,L57,Erfassung2!BE:BE)</f>
        <v>222</v>
      </c>
      <c r="N57" s="108">
        <f>SUMIF(Erfassung2!BD:BD,L57,Erfassung2!BG:BG)</f>
        <v>2</v>
      </c>
      <c r="O57" s="108">
        <f t="shared" si="0"/>
        <v>110.99999994300001</v>
      </c>
      <c r="P57" s="108">
        <f t="shared" si="1"/>
        <v>39</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110.99999992799999</v>
      </c>
      <c r="L58" s="108">
        <f>INDEX(Starter!A:A,ROW()-1)</f>
        <v>0</v>
      </c>
      <c r="M58" s="108">
        <f>SUMIF(Erfassung2!BD:BD,L58,Erfassung2!BE:BE)</f>
        <v>222</v>
      </c>
      <c r="N58" s="108">
        <f>SUMIF(Erfassung2!BD:BD,L58,Erfassung2!BG:BG)</f>
        <v>2</v>
      </c>
      <c r="O58" s="108">
        <f t="shared" si="0"/>
        <v>110.999999942</v>
      </c>
      <c r="P58" s="108">
        <f t="shared" si="1"/>
        <v>40</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110.999999927</v>
      </c>
      <c r="L59" s="108">
        <f>INDEX(Starter!A:A,ROW()-1)</f>
        <v>0</v>
      </c>
      <c r="M59" s="108">
        <f>SUMIF(Erfassung2!BD:BD,L59,Erfassung2!BE:BE)</f>
        <v>222</v>
      </c>
      <c r="N59" s="108">
        <f>SUMIF(Erfassung2!BD:BD,L59,Erfassung2!BG:BG)</f>
        <v>2</v>
      </c>
      <c r="O59" s="108">
        <f t="shared" si="0"/>
        <v>110.999999941</v>
      </c>
      <c r="P59" s="108">
        <f t="shared" si="1"/>
        <v>41</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110.999999926</v>
      </c>
      <c r="L60" s="108">
        <f>INDEX(Starter!A:A,ROW()-1)</f>
        <v>0</v>
      </c>
      <c r="M60" s="108">
        <f>SUMIF(Erfassung2!BD:BD,L60,Erfassung2!BE:BE)</f>
        <v>222</v>
      </c>
      <c r="N60" s="108">
        <f>SUMIF(Erfassung2!BD:BD,L60,Erfassung2!BG:BG)</f>
        <v>2</v>
      </c>
      <c r="O60" s="108">
        <f t="shared" si="0"/>
        <v>110.99999994</v>
      </c>
      <c r="P60" s="108">
        <f t="shared" si="1"/>
        <v>42</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110.999999925</v>
      </c>
      <c r="L61" s="108">
        <f>INDEX(Starter!A:A,ROW()-1)</f>
        <v>0</v>
      </c>
      <c r="M61" s="108">
        <f>SUMIF(Erfassung2!BD:BD,L61,Erfassung2!BE:BE)</f>
        <v>222</v>
      </c>
      <c r="N61" s="108">
        <f>SUMIF(Erfassung2!BD:BD,L61,Erfassung2!BG:BG)</f>
        <v>2</v>
      </c>
      <c r="O61" s="108">
        <f t="shared" si="0"/>
        <v>110.99999993900001</v>
      </c>
      <c r="P61" s="108">
        <f t="shared" si="1"/>
        <v>43</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110.99999992399999</v>
      </c>
      <c r="L62" s="108">
        <f>INDEX(Starter!A:A,ROW()-1)</f>
        <v>0</v>
      </c>
      <c r="M62" s="108">
        <f>SUMIF(Erfassung2!BD:BD,L62,Erfassung2!BE:BE)</f>
        <v>222</v>
      </c>
      <c r="N62" s="108">
        <f>SUMIF(Erfassung2!BD:BD,L62,Erfassung2!BG:BG)</f>
        <v>2</v>
      </c>
      <c r="O62" s="108">
        <f t="shared" si="0"/>
        <v>110.999999938</v>
      </c>
      <c r="P62" s="108">
        <f t="shared" si="1"/>
        <v>44</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110.999999923</v>
      </c>
      <c r="L63" s="108">
        <f>INDEX(Starter!A:A,ROW()-1)</f>
        <v>0</v>
      </c>
      <c r="M63" s="108">
        <f>SUMIF(Erfassung2!BD:BD,L63,Erfassung2!BE:BE)</f>
        <v>222</v>
      </c>
      <c r="N63" s="108">
        <f>SUMIF(Erfassung2!BD:BD,L63,Erfassung2!BG:BG)</f>
        <v>2</v>
      </c>
      <c r="O63" s="108">
        <f t="shared" si="0"/>
        <v>110.999999937</v>
      </c>
      <c r="P63" s="108">
        <f t="shared" si="1"/>
        <v>45</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110.999999922</v>
      </c>
      <c r="L64" s="108">
        <f>INDEX(Starter!A:A,ROW()-1)</f>
        <v>0</v>
      </c>
      <c r="M64" s="108">
        <f>SUMIF(Erfassung2!BD:BD,L64,Erfassung2!BE:BE)</f>
        <v>222</v>
      </c>
      <c r="N64" s="108">
        <f>SUMIF(Erfassung2!BD:BD,L64,Erfassung2!BG:BG)</f>
        <v>2</v>
      </c>
      <c r="O64" s="108">
        <f t="shared" si="0"/>
        <v>110.99999993599999</v>
      </c>
      <c r="P64" s="108">
        <f t="shared" si="1"/>
        <v>46</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110.999999921</v>
      </c>
      <c r="L65" s="108">
        <f>INDEX(Starter!A:A,ROW()-1)</f>
        <v>0</v>
      </c>
      <c r="M65" s="108">
        <f>SUMIF(Erfassung2!BD:BD,L65,Erfassung2!BE:BE)</f>
        <v>222</v>
      </c>
      <c r="N65" s="108">
        <f>SUMIF(Erfassung2!BD:BD,L65,Erfassung2!BG:BG)</f>
        <v>2</v>
      </c>
      <c r="O65" s="108">
        <f t="shared" si="0"/>
        <v>110.99999993500001</v>
      </c>
      <c r="P65" s="108">
        <f t="shared" si="1"/>
        <v>47</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110.99999991999999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48</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110.999999919</v>
      </c>
      <c r="L67" s="108">
        <f>INDEX(Starter!A:A,ROW()-1)</f>
        <v>0</v>
      </c>
      <c r="M67" s="108">
        <f>SUMIF(Erfassung2!BD:BD,L67,Erfassung2!BE:BE)</f>
        <v>222</v>
      </c>
      <c r="N67" s="108">
        <f>SUMIF(Erfassung2!BD:BD,L67,Erfassung2!BG:BG)</f>
        <v>2</v>
      </c>
      <c r="O67" s="108">
        <f t="shared" si="7"/>
        <v>110.999999933</v>
      </c>
      <c r="P67" s="108">
        <f t="shared" si="8"/>
        <v>49</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110.999999918</v>
      </c>
      <c r="L68" s="108">
        <f>INDEX(Starter!A:A,ROW()-1)</f>
        <v>0</v>
      </c>
      <c r="M68" s="108">
        <f>SUMIF(Erfassung2!BD:BD,L68,Erfassung2!BE:BE)</f>
        <v>222</v>
      </c>
      <c r="N68" s="108">
        <f>SUMIF(Erfassung2!BD:BD,L68,Erfassung2!BG:BG)</f>
        <v>2</v>
      </c>
      <c r="O68" s="108">
        <f t="shared" si="7"/>
        <v>110.99999993199999</v>
      </c>
      <c r="P68" s="108">
        <f t="shared" si="8"/>
        <v>50</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110.999999917</v>
      </c>
      <c r="L69" s="108">
        <f>INDEX(Starter!A:A,ROW()-1)</f>
        <v>0</v>
      </c>
      <c r="M69" s="108">
        <f>SUMIF(Erfassung2!BD:BD,L69,Erfassung2!BE:BE)</f>
        <v>222</v>
      </c>
      <c r="N69" s="108">
        <f>SUMIF(Erfassung2!BD:BD,L69,Erfassung2!BG:BG)</f>
        <v>2</v>
      </c>
      <c r="O69" s="108">
        <f t="shared" si="7"/>
        <v>110.999999931</v>
      </c>
      <c r="P69" s="108">
        <f t="shared" si="8"/>
        <v>51</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110.99999991599999</v>
      </c>
      <c r="L70" s="108">
        <f>INDEX(Starter!A:A,ROW()-1)</f>
        <v>0</v>
      </c>
      <c r="M70" s="108">
        <f>SUMIF(Erfassung2!BD:BD,L70,Erfassung2!BE:BE)</f>
        <v>222</v>
      </c>
      <c r="N70" s="108">
        <f>SUMIF(Erfassung2!BD:BD,L70,Erfassung2!BG:BG)</f>
        <v>2</v>
      </c>
      <c r="O70" s="108">
        <f t="shared" si="7"/>
        <v>110.99999993</v>
      </c>
      <c r="P70" s="108">
        <f t="shared" si="8"/>
        <v>52</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110.999999915</v>
      </c>
      <c r="L71" s="108">
        <f>INDEX(Starter!A:A,ROW()-1)</f>
        <v>0</v>
      </c>
      <c r="M71" s="108">
        <f>SUMIF(Erfassung2!BD:BD,L71,Erfassung2!BE:BE)</f>
        <v>222</v>
      </c>
      <c r="N71" s="108">
        <f>SUMIF(Erfassung2!BD:BD,L71,Erfassung2!BG:BG)</f>
        <v>2</v>
      </c>
      <c r="O71" s="108">
        <f t="shared" si="7"/>
        <v>110.999999929</v>
      </c>
      <c r="P71" s="108">
        <f t="shared" si="8"/>
        <v>53</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110.999999914</v>
      </c>
      <c r="L72" s="108">
        <f>INDEX(Starter!A:A,ROW()-1)</f>
        <v>0</v>
      </c>
      <c r="M72" s="108">
        <f>SUMIF(Erfassung2!BD:BD,L72,Erfassung2!BE:BE)</f>
        <v>222</v>
      </c>
      <c r="N72" s="108">
        <f>SUMIF(Erfassung2!BD:BD,L72,Erfassung2!BG:BG)</f>
        <v>2</v>
      </c>
      <c r="O72" s="108">
        <f t="shared" si="7"/>
        <v>110.99999992799999</v>
      </c>
      <c r="P72" s="108">
        <f t="shared" si="8"/>
        <v>54</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110.999999913</v>
      </c>
      <c r="L73" s="108">
        <f>INDEX(Starter!A:A,ROW()-1)</f>
        <v>0</v>
      </c>
      <c r="M73" s="108">
        <f>SUMIF(Erfassung2!BD:BD,L73,Erfassung2!BE:BE)</f>
        <v>222</v>
      </c>
      <c r="N73" s="108">
        <f>SUMIF(Erfassung2!BD:BD,L73,Erfassung2!BG:BG)</f>
        <v>2</v>
      </c>
      <c r="O73" s="108">
        <f t="shared" si="7"/>
        <v>110.999999927</v>
      </c>
      <c r="P73" s="108">
        <f t="shared" si="8"/>
        <v>55</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110.99999991200001</v>
      </c>
      <c r="L74" s="108">
        <f>INDEX(Starter!A:A,ROW()-1)</f>
        <v>0</v>
      </c>
      <c r="M74" s="108">
        <f>SUMIF(Erfassung2!BD:BD,L74,Erfassung2!BE:BE)</f>
        <v>222</v>
      </c>
      <c r="N74" s="108">
        <f>SUMIF(Erfassung2!BD:BD,L74,Erfassung2!BG:BG)</f>
        <v>2</v>
      </c>
      <c r="O74" s="108">
        <f t="shared" si="7"/>
        <v>110.999999926</v>
      </c>
      <c r="P74" s="108">
        <f t="shared" si="8"/>
        <v>56</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110.999999911</v>
      </c>
      <c r="L75" s="108">
        <f>INDEX(Starter!A:A,ROW()-1)</f>
        <v>0</v>
      </c>
      <c r="M75" s="108">
        <f>SUMIF(Erfassung2!BD:BD,L75,Erfassung2!BE:BE)</f>
        <v>222</v>
      </c>
      <c r="N75" s="108">
        <f>SUMIF(Erfassung2!BD:BD,L75,Erfassung2!BG:BG)</f>
        <v>2</v>
      </c>
      <c r="O75" s="108">
        <f t="shared" si="7"/>
        <v>110.999999925</v>
      </c>
      <c r="P75" s="108">
        <f t="shared" si="8"/>
        <v>57</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110.99999991</v>
      </c>
      <c r="L76" s="108">
        <f>INDEX(Starter!A:A,ROW()-1)</f>
        <v>0</v>
      </c>
      <c r="M76" s="108">
        <f>SUMIF(Erfassung2!BD:BD,L76,Erfassung2!BE:BE)</f>
        <v>222</v>
      </c>
      <c r="N76" s="108">
        <f>SUMIF(Erfassung2!BD:BD,L76,Erfassung2!BG:BG)</f>
        <v>2</v>
      </c>
      <c r="O76" s="108">
        <f t="shared" si="7"/>
        <v>110.99999992399999</v>
      </c>
      <c r="P76" s="108">
        <f t="shared" si="8"/>
        <v>58</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110.999999909</v>
      </c>
      <c r="L77" s="108">
        <f>INDEX(Starter!A:A,ROW()-1)</f>
        <v>0</v>
      </c>
      <c r="M77" s="108">
        <f>SUMIF(Erfassung2!BD:BD,L77,Erfassung2!BE:BE)</f>
        <v>222</v>
      </c>
      <c r="N77" s="108">
        <f>SUMIF(Erfassung2!BD:BD,L77,Erfassung2!BG:BG)</f>
        <v>2</v>
      </c>
      <c r="O77" s="108">
        <f t="shared" si="7"/>
        <v>110.999999923</v>
      </c>
      <c r="P77" s="108">
        <f t="shared" si="8"/>
        <v>59</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110.99999990800001</v>
      </c>
      <c r="L78" s="108">
        <f>INDEX(Starter!A:A,ROW()-1)</f>
        <v>0</v>
      </c>
      <c r="M78" s="108">
        <f>SUMIF(Erfassung2!BD:BD,L78,Erfassung2!BE:BE)</f>
        <v>222</v>
      </c>
      <c r="N78" s="108">
        <f>SUMIF(Erfassung2!BD:BD,L78,Erfassung2!BG:BG)</f>
        <v>2</v>
      </c>
      <c r="O78" s="108">
        <f t="shared" si="7"/>
        <v>110.999999922</v>
      </c>
      <c r="P78" s="108">
        <f t="shared" si="8"/>
        <v>60</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110.999999907</v>
      </c>
      <c r="L79" s="108">
        <f>INDEX(Starter!A:A,ROW()-1)</f>
        <v>0</v>
      </c>
      <c r="M79" s="108">
        <f>SUMIF(Erfassung2!BD:BD,L79,Erfassung2!BE:BE)</f>
        <v>222</v>
      </c>
      <c r="N79" s="108">
        <f>SUMIF(Erfassung2!BD:BD,L79,Erfassung2!BG:BG)</f>
        <v>2</v>
      </c>
      <c r="O79" s="108">
        <f t="shared" si="7"/>
        <v>110.999999921</v>
      </c>
      <c r="P79" s="108">
        <f t="shared" si="8"/>
        <v>61</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110.999999906</v>
      </c>
      <c r="L80" s="108">
        <f>INDEX(Starter!A:A,ROW()-1)</f>
        <v>0</v>
      </c>
      <c r="M80" s="108">
        <f>SUMIF(Erfassung2!BD:BD,L80,Erfassung2!BE:BE)</f>
        <v>222</v>
      </c>
      <c r="N80" s="108">
        <f>SUMIF(Erfassung2!BD:BD,L80,Erfassung2!BG:BG)</f>
        <v>2</v>
      </c>
      <c r="O80" s="108">
        <f t="shared" si="7"/>
        <v>110.99999991999999</v>
      </c>
      <c r="P80" s="108">
        <f t="shared" si="8"/>
        <v>62</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110.999999905</v>
      </c>
      <c r="L81" s="108">
        <f>INDEX(Starter!A:A,ROW()-1)</f>
        <v>0</v>
      </c>
      <c r="M81" s="108">
        <f>SUMIF(Erfassung2!BD:BD,L81,Erfassung2!BE:BE)</f>
        <v>222</v>
      </c>
      <c r="N81" s="108">
        <f>SUMIF(Erfassung2!BD:BD,L81,Erfassung2!BG:BG)</f>
        <v>2</v>
      </c>
      <c r="O81" s="108">
        <f t="shared" si="7"/>
        <v>110.999999919</v>
      </c>
      <c r="P81" s="108">
        <f t="shared" si="8"/>
        <v>63</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110.99999990400001</v>
      </c>
      <c r="L82" s="108">
        <f>INDEX(Starter!A:A,ROW()-1)</f>
        <v>0</v>
      </c>
      <c r="M82" s="108">
        <f>SUMIF(Erfassung2!BD:BD,L82,Erfassung2!BE:BE)</f>
        <v>222</v>
      </c>
      <c r="N82" s="108">
        <f>SUMIF(Erfassung2!BD:BD,L82,Erfassung2!BG:BG)</f>
        <v>2</v>
      </c>
      <c r="O82" s="108">
        <f t="shared" si="7"/>
        <v>110.999999918</v>
      </c>
      <c r="P82" s="108">
        <f t="shared" si="8"/>
        <v>64</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110.999999903</v>
      </c>
      <c r="L83" s="108">
        <f>INDEX(Starter!A:A,ROW()-1)</f>
        <v>0</v>
      </c>
      <c r="M83" s="108">
        <f>SUMIF(Erfassung2!BD:BD,L83,Erfassung2!BE:BE)</f>
        <v>222</v>
      </c>
      <c r="N83" s="108">
        <f>SUMIF(Erfassung2!BD:BD,L83,Erfassung2!BG:BG)</f>
        <v>2</v>
      </c>
      <c r="O83" s="108">
        <f t="shared" si="7"/>
        <v>110.999999917</v>
      </c>
      <c r="P83" s="108">
        <f t="shared" si="8"/>
        <v>65</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110.999999902</v>
      </c>
      <c r="L84" s="108">
        <f>INDEX(Starter!A:A,ROW()-1)</f>
        <v>0</v>
      </c>
      <c r="M84" s="108">
        <f>SUMIF(Erfassung2!BD:BD,L84,Erfassung2!BE:BE)</f>
        <v>222</v>
      </c>
      <c r="N84" s="108">
        <f>SUMIF(Erfassung2!BD:BD,L84,Erfassung2!BG:BG)</f>
        <v>2</v>
      </c>
      <c r="O84" s="108">
        <f t="shared" si="7"/>
        <v>110.99999991599999</v>
      </c>
      <c r="P84" s="108">
        <f t="shared" si="8"/>
        <v>66</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110.999999901</v>
      </c>
      <c r="L85" s="108">
        <f>INDEX(Starter!A:A,ROW()-1)</f>
        <v>0</v>
      </c>
      <c r="M85" s="108">
        <f>SUMIF(Erfassung2!BD:BD,L85,Erfassung2!BE:BE)</f>
        <v>222</v>
      </c>
      <c r="N85" s="108">
        <f>SUMIF(Erfassung2!BD:BD,L85,Erfassung2!BG:BG)</f>
        <v>2</v>
      </c>
      <c r="O85" s="108">
        <f t="shared" si="7"/>
        <v>110.999999915</v>
      </c>
      <c r="P85" s="108">
        <f t="shared" si="8"/>
        <v>67</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110.99999990000001</v>
      </c>
      <c r="L86" s="108">
        <f>INDEX(Starter!A:A,ROW()-1)</f>
        <v>0</v>
      </c>
      <c r="M86" s="108">
        <f>SUMIF(Erfassung2!BD:BD,L86,Erfassung2!BE:BE)</f>
        <v>222</v>
      </c>
      <c r="N86" s="108">
        <f>SUMIF(Erfassung2!BD:BD,L86,Erfassung2!BG:BG)</f>
        <v>2</v>
      </c>
      <c r="O86" s="108">
        <f t="shared" si="7"/>
        <v>110.999999914</v>
      </c>
      <c r="P86" s="108">
        <f t="shared" si="8"/>
        <v>68</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110.999999899</v>
      </c>
      <c r="L87" s="108">
        <f>INDEX(Starter!A:A,ROW()-1)</f>
        <v>0</v>
      </c>
      <c r="M87" s="108">
        <f>SUMIF(Erfassung2!BD:BD,L87,Erfassung2!BE:BE)</f>
        <v>222</v>
      </c>
      <c r="N87" s="108">
        <f>SUMIF(Erfassung2!BD:BD,L87,Erfassung2!BG:BG)</f>
        <v>2</v>
      </c>
      <c r="O87" s="108">
        <f t="shared" si="7"/>
        <v>110.999999913</v>
      </c>
      <c r="P87" s="108">
        <f t="shared" si="8"/>
        <v>69</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110.999999898</v>
      </c>
      <c r="L88" s="108">
        <f>INDEX(Starter!A:A,ROW()-1)</f>
        <v>0</v>
      </c>
      <c r="M88" s="108">
        <f>SUMIF(Erfassung2!BD:BD,L88,Erfassung2!BE:BE)</f>
        <v>222</v>
      </c>
      <c r="N88" s="108">
        <f>SUMIF(Erfassung2!BD:BD,L88,Erfassung2!BG:BG)</f>
        <v>2</v>
      </c>
      <c r="O88" s="108">
        <f t="shared" si="7"/>
        <v>110.99999991200001</v>
      </c>
      <c r="P88" s="108">
        <f t="shared" si="8"/>
        <v>70</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110.999999897</v>
      </c>
      <c r="L89" s="108">
        <f>INDEX(Starter!A:A,ROW()-1)</f>
        <v>0</v>
      </c>
      <c r="M89" s="108">
        <f>SUMIF(Erfassung2!BD:BD,L89,Erfassung2!BE:BE)</f>
        <v>222</v>
      </c>
      <c r="N89" s="108">
        <f>SUMIF(Erfassung2!BD:BD,L89,Erfassung2!BG:BG)</f>
        <v>2</v>
      </c>
      <c r="O89" s="108">
        <f t="shared" si="7"/>
        <v>110.999999911</v>
      </c>
      <c r="P89" s="108">
        <f t="shared" si="8"/>
        <v>71</v>
      </c>
    </row>
    <row r="90" spans="1:16" x14ac:dyDescent="0.25">
      <c r="A90" s="108">
        <f t="shared" si="13"/>
        <v>86</v>
      </c>
      <c r="B90" s="108">
        <f t="shared" si="9"/>
        <v>0</v>
      </c>
      <c r="C90" s="108" t="str">
        <f>IFERROR(INDEX(Starter!B:B,MATCH(B90,Starter!A:A,0)),"")</f>
        <v/>
      </c>
      <c r="D90" s="108" t="str">
        <f>IFERROR(INDEX(Starter!C:C,MATCH(B90,Starter!A:A,0)),"")</f>
        <v/>
      </c>
      <c r="E90" s="117">
        <f t="shared" si="10"/>
        <v>222</v>
      </c>
      <c r="F90" s="108">
        <f t="shared" si="11"/>
        <v>2</v>
      </c>
      <c r="G90" s="112">
        <f t="shared" si="12"/>
        <v>110.99999989600001</v>
      </c>
      <c r="L90" s="108">
        <f>INDEX(Starter!A:A,ROW()-1)</f>
        <v>0</v>
      </c>
      <c r="M90" s="108">
        <f>SUMIF(Erfassung2!BD:BD,L90,Erfassung2!BE:BE)</f>
        <v>222</v>
      </c>
      <c r="N90" s="108">
        <f>SUMIF(Erfassung2!BD:BD,L90,Erfassung2!BG:BG)</f>
        <v>2</v>
      </c>
      <c r="O90" s="108">
        <f t="shared" si="7"/>
        <v>110.99999991</v>
      </c>
      <c r="P90" s="108">
        <f t="shared" si="8"/>
        <v>72</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73</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74</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75</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76</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77</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78</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80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82</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83</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84</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85</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86</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96</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INDEX(Schnitt1!M:M,MATCH(L18,Schnitt1!L:L,0))+INDEX(Schnitt2!M:M,MATCH(L18,Schnitt2!L:L,0))</f>
        <v>0</v>
      </c>
      <c r="N18">
        <f>INDEX(Schnitt1!N:N,MATCH(L18,Schnitt1!L:L,0))+INDEX(Schnitt2!N:N,MATCH(L18,Schnitt2!L:L,0))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INDEX(Schnitt1!M:M,MATCH(L19,Schnitt1!L:L,0))+INDEX(Schnitt2!M:M,MATCH(L19,Schnitt2!L:L,0))</f>
        <v>222</v>
      </c>
      <c r="N19">
        <f>INDEX(Schnitt1!N:N,MATCH(L19,Schnitt1!L:L,0))+INDEX(Schnitt2!N:N,MATCH(L19,Schnitt2!L:L,0))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INDEX(Schnitt1!M:M,MATCH(L20,Schnitt1!L:L,0))+INDEX(Schnitt2!M:M,MATCH(L20,Schnitt2!L:L,0))</f>
        <v>222</v>
      </c>
      <c r="N20">
        <f>INDEX(Schnitt1!N:N,MATCH(L20,Schnitt1!L:L,0))+INDEX(Schnitt2!N:N,MATCH(L20,Schnitt2!L:L,0))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INDEX(Schnitt1!M:M,MATCH(L21,Schnitt1!L:L,0))+INDEX(Schnitt2!M:M,MATCH(L21,Schnitt2!L:L,0))</f>
        <v>222</v>
      </c>
      <c r="N21">
        <f>INDEX(Schnitt1!N:N,MATCH(L21,Schnitt1!L:L,0))+INDEX(Schnitt2!N:N,MATCH(L21,Schnitt2!L:L,0))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INDEX(Schnitt1!M:M,MATCH(L22,Schnitt1!L:L,0))+INDEX(Schnitt2!M:M,MATCH(L22,Schnitt2!L:L,0))</f>
        <v>222</v>
      </c>
      <c r="N22">
        <f>INDEX(Schnitt1!N:N,MATCH(L22,Schnitt1!L:L,0))+INDEX(Schnitt2!N:N,MATCH(L22,Schnitt2!L:L,0))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INDEX(Schnitt1!M:M,MATCH(L23,Schnitt1!L:L,0))+INDEX(Schnitt2!M:M,MATCH(L23,Schnitt2!L:L,0))</f>
        <v>222</v>
      </c>
      <c r="N23">
        <f>INDEX(Schnitt1!N:N,MATCH(L23,Schnitt1!L:L,0))+INDEX(Schnitt2!N:N,MATCH(L23,Schnitt2!L:L,0))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INDEX(Schnitt1!M:M,MATCH(L24,Schnitt1!L:L,0))+INDEX(Schnitt2!M:M,MATCH(L24,Schnitt2!L:L,0))</f>
        <v>222</v>
      </c>
      <c r="N24">
        <f>INDEX(Schnitt1!N:N,MATCH(L24,Schnitt1!L:L,0))+INDEX(Schnitt2!N:N,MATCH(L24,Schnitt2!L:L,0))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INDEX(Schnitt1!M:M,MATCH(L25,Schnitt1!L:L,0))+INDEX(Schnitt2!M:M,MATCH(L25,Schnitt2!L:L,0))</f>
        <v>222</v>
      </c>
      <c r="N25">
        <f>INDEX(Schnitt1!N:N,MATCH(L25,Schnitt1!L:L,0))+INDEX(Schnitt2!N:N,MATCH(L25,Schnitt2!L:L,0))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INDEX(Schnitt1!M:M,MATCH(L26,Schnitt1!L:L,0))+INDEX(Schnitt2!M:M,MATCH(L26,Schnitt2!L:L,0))</f>
        <v>222</v>
      </c>
      <c r="N26">
        <f>INDEX(Schnitt1!N:N,MATCH(L26,Schnitt1!L:L,0))+INDEX(Schnitt2!N:N,MATCH(L26,Schnitt2!L:L,0))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INDEX(Schnitt1!M:M,MATCH(L27,Schnitt1!L:L,0))+INDEX(Schnitt2!M:M,MATCH(L27,Schnitt2!L:L,0))</f>
        <v>222</v>
      </c>
      <c r="N27">
        <f>INDEX(Schnitt1!N:N,MATCH(L27,Schnitt1!L:L,0))+INDEX(Schnitt2!N:N,MATCH(L27,Schnitt2!L:L,0))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INDEX(Schnitt1!M:M,MATCH(L28,Schnitt1!L:L,0))+INDEX(Schnitt2!M:M,MATCH(L28,Schnitt2!L:L,0))</f>
        <v>222</v>
      </c>
      <c r="N28">
        <f>INDEX(Schnitt1!N:N,MATCH(L28,Schnitt1!L:L,0))+INDEX(Schnitt2!N:N,MATCH(L28,Schnitt2!L:L,0))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INDEX(Schnitt1!M:M,MATCH(L29,Schnitt1!L:L,0))+INDEX(Schnitt2!M:M,MATCH(L29,Schnitt2!L:L,0))</f>
        <v>222</v>
      </c>
      <c r="N29">
        <f>INDEX(Schnitt1!N:N,MATCH(L29,Schnitt1!L:L,0))+INDEX(Schnitt2!N:N,MATCH(L29,Schnitt2!L:L,0))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INDEX(Schnitt1!M:M,MATCH(L30,Schnitt1!L:L,0))+INDEX(Schnitt2!M:M,MATCH(L30,Schnitt2!L:L,0))</f>
        <v>222</v>
      </c>
      <c r="N30">
        <f>INDEX(Schnitt1!N:N,MATCH(L30,Schnitt1!L:L,0))+INDEX(Schnitt2!N:N,MATCH(L30,Schnitt2!L:L,0))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INDEX(Schnitt1!M:M,MATCH(L31,Schnitt1!L:L,0))+INDEX(Schnitt2!M:M,MATCH(L31,Schnitt2!L:L,0))</f>
        <v>222</v>
      </c>
      <c r="N31">
        <f>INDEX(Schnitt1!N:N,MATCH(L31,Schnitt1!L:L,0))+INDEX(Schnitt2!N:N,MATCH(L31,Schnitt2!L:L,0))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INDEX(Schnitt1!M:M,MATCH(L32,Schnitt1!L:L,0))+INDEX(Schnitt2!M:M,MATCH(L32,Schnitt2!L:L,0))</f>
        <v>222</v>
      </c>
      <c r="N32">
        <f>INDEX(Schnitt1!N:N,MATCH(L32,Schnitt1!L:L,0))+INDEX(Schnitt2!N:N,MATCH(L32,Schnitt2!L:L,0))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INDEX(Schnitt1!M:M,MATCH(L33,Schnitt1!L:L,0))+INDEX(Schnitt2!M:M,MATCH(L33,Schnitt2!L:L,0))</f>
        <v>222</v>
      </c>
      <c r="N33">
        <f>INDEX(Schnitt1!N:N,MATCH(L33,Schnitt1!L:L,0))+INDEX(Schnitt2!N:N,MATCH(L33,Schnitt2!L:L,0))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INDEX(Schnitt1!M:M,MATCH(L34,Schnitt1!L:L,0))+INDEX(Schnitt2!M:M,MATCH(L34,Schnitt2!L:L,0))</f>
        <v>222</v>
      </c>
      <c r="N34">
        <f>INDEX(Schnitt1!N:N,MATCH(L34,Schnitt1!L:L,0))+INDEX(Schnitt2!N:N,MATCH(L34,Schnitt2!L:L,0))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INDEX(Schnitt1!M:M,MATCH(L35,Schnitt1!L:L,0))+INDEX(Schnitt2!M:M,MATCH(L35,Schnitt2!L:L,0))</f>
        <v>222</v>
      </c>
      <c r="N35">
        <f>INDEX(Schnitt1!N:N,MATCH(L35,Schnitt1!L:L,0))+INDEX(Schnitt2!N:N,MATCH(L35,Schnitt2!L:L,0))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INDEX(Schnitt1!M:M,MATCH(L36,Schnitt1!L:L,0))+INDEX(Schnitt2!M:M,MATCH(L36,Schnitt2!L:L,0))</f>
        <v>222</v>
      </c>
      <c r="N36">
        <f>INDEX(Schnitt1!N:N,MATCH(L36,Schnitt1!L:L,0))+INDEX(Schnitt2!N:N,MATCH(L36,Schnitt2!L:L,0))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INDEX(Schnitt1!M:M,MATCH(L37,Schnitt1!L:L,0))+INDEX(Schnitt2!M:M,MATCH(L37,Schnitt2!L:L,0))</f>
        <v>222</v>
      </c>
      <c r="N37">
        <f>INDEX(Schnitt1!N:N,MATCH(L37,Schnitt1!L:L,0))+INDEX(Schnitt2!N:N,MATCH(L37,Schnitt2!L:L,0))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INDEX(Schnitt1!M:M,MATCH(L38,Schnitt1!L:L,0))+INDEX(Schnitt2!M:M,MATCH(L38,Schnitt2!L:L,0))</f>
        <v>222</v>
      </c>
      <c r="N38">
        <f>INDEX(Schnitt1!N:N,MATCH(L38,Schnitt1!L:L,0))+INDEX(Schnitt2!N:N,MATCH(L38,Schnitt2!L:L,0))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INDEX(Schnitt1!M:M,MATCH(L39,Schnitt1!L:L,0))+INDEX(Schnitt2!M:M,MATCH(L39,Schnitt2!L:L,0))</f>
        <v>222</v>
      </c>
      <c r="N39">
        <f>INDEX(Schnitt1!N:N,MATCH(L39,Schnitt1!L:L,0))+INDEX(Schnitt2!N:N,MATCH(L39,Schnitt2!L:L,0))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INDEX(Schnitt1!M:M,MATCH(L40,Schnitt1!L:L,0))+INDEX(Schnitt2!M:M,MATCH(L40,Schnitt2!L:L,0))</f>
        <v>222</v>
      </c>
      <c r="N40">
        <f>INDEX(Schnitt1!N:N,MATCH(L40,Schnitt1!L:L,0))+INDEX(Schnitt2!N:N,MATCH(L40,Schnitt2!L:L,0))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INDEX(Schnitt1!M:M,MATCH(L41,Schnitt1!L:L,0))+INDEX(Schnitt2!M:M,MATCH(L41,Schnitt2!L:L,0))</f>
        <v>222</v>
      </c>
      <c r="N41">
        <f>INDEX(Schnitt1!N:N,MATCH(L41,Schnitt1!L:L,0))+INDEX(Schnitt2!N:N,MATCH(L41,Schnitt2!L:L,0))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INDEX(Schnitt1!M:M,MATCH(L42,Schnitt1!L:L,0))+INDEX(Schnitt2!M:M,MATCH(L42,Schnitt2!L:L,0))</f>
        <v>222</v>
      </c>
      <c r="N42">
        <f>INDEX(Schnitt1!N:N,MATCH(L42,Schnitt1!L:L,0))+INDEX(Schnitt2!N:N,MATCH(L42,Schnitt2!L:L,0))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INDEX(Schnitt1!M:M,MATCH(L43,Schnitt1!L:L,0))+INDEX(Schnitt2!M:M,MATCH(L43,Schnitt2!L:L,0))</f>
        <v>222</v>
      </c>
      <c r="N43">
        <f>INDEX(Schnitt1!N:N,MATCH(L43,Schnitt1!L:L,0))+INDEX(Schnitt2!N:N,MATCH(L43,Schnitt2!L:L,0))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INDEX(Schnitt1!M:M,MATCH(L44,Schnitt1!L:L,0))+INDEX(Schnitt2!M:M,MATCH(L44,Schnitt2!L:L,0))</f>
        <v>222</v>
      </c>
      <c r="N44">
        <f>INDEX(Schnitt1!N:N,MATCH(L44,Schnitt1!L:L,0))+INDEX(Schnitt2!N:N,MATCH(L44,Schnitt2!L:L,0))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INDEX(Schnitt1!M:M,MATCH(L45,Schnitt1!L:L,0))+INDEX(Schnitt2!M:M,MATCH(L45,Schnitt2!L:L,0))</f>
        <v>222</v>
      </c>
      <c r="N45">
        <f>INDEX(Schnitt1!N:N,MATCH(L45,Schnitt1!L:L,0))+INDEX(Schnitt2!N:N,MATCH(L45,Schnitt2!L:L,0))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INDEX(Schnitt1!M:M,MATCH(L46,Schnitt1!L:L,0))+INDEX(Schnitt2!M:M,MATCH(L46,Schnitt2!L:L,0))</f>
        <v>222</v>
      </c>
      <c r="N46">
        <f>INDEX(Schnitt1!N:N,MATCH(L46,Schnitt1!L:L,0))+INDEX(Schnitt2!N:N,MATCH(L46,Schnitt2!L:L,0))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INDEX(Schnitt1!M:M,MATCH(L47,Schnitt1!L:L,0))+INDEX(Schnitt2!M:M,MATCH(L47,Schnitt2!L:L,0))</f>
        <v>222</v>
      </c>
      <c r="N47">
        <f>INDEX(Schnitt1!N:N,MATCH(L47,Schnitt1!L:L,0))+INDEX(Schnitt2!N:N,MATCH(L47,Schnitt2!L:L,0))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INDEX(Schnitt1!M:M,MATCH(L48,Schnitt1!L:L,0))+INDEX(Schnitt2!M:M,MATCH(L48,Schnitt2!L:L,0))</f>
        <v>222</v>
      </c>
      <c r="N48">
        <f>INDEX(Schnitt1!N:N,MATCH(L48,Schnitt1!L:L,0))+INDEX(Schnitt2!N:N,MATCH(L48,Schnitt2!L:L,0))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INDEX(Schnitt1!M:M,MATCH(L49,Schnitt1!L:L,0))+INDEX(Schnitt2!M:M,MATCH(L49,Schnitt2!L:L,0))</f>
        <v>222</v>
      </c>
      <c r="N49">
        <f>INDEX(Schnitt1!N:N,MATCH(L49,Schnitt1!L:L,0))+INDEX(Schnitt2!N:N,MATCH(L49,Schnitt2!L:L,0))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INDEX(Schnitt1!M:M,MATCH(L50,Schnitt1!L:L,0))+INDEX(Schnitt2!M:M,MATCH(L50,Schnitt2!L:L,0))</f>
        <v>222</v>
      </c>
      <c r="N50">
        <f>INDEX(Schnitt1!N:N,MATCH(L50,Schnitt1!L:L,0))+INDEX(Schnitt2!N:N,MATCH(L50,Schnitt2!L:L,0))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INDEX(Schnitt1!M:M,MATCH(L51,Schnitt1!L:L,0))+INDEX(Schnitt2!M:M,MATCH(L51,Schnitt2!L:L,0))</f>
        <v>222</v>
      </c>
      <c r="N51">
        <f>INDEX(Schnitt1!N:N,MATCH(L51,Schnitt1!L:L,0))+INDEX(Schnitt2!N:N,MATCH(L51,Schnitt2!L:L,0))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INDEX(Schnitt1!M:M,MATCH(L52,Schnitt1!L:L,0))+INDEX(Schnitt2!M:M,MATCH(L52,Schnitt2!L:L,0))</f>
        <v>222</v>
      </c>
      <c r="N52">
        <f>INDEX(Schnitt1!N:N,MATCH(L52,Schnitt1!L:L,0))+INDEX(Schnitt2!N:N,MATCH(L52,Schnitt2!L:L,0))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INDEX(Schnitt1!M:M,MATCH(L53,Schnitt1!L:L,0))+INDEX(Schnitt2!M:M,MATCH(L53,Schnitt2!L:L,0))</f>
        <v>222</v>
      </c>
      <c r="N53">
        <f>INDEX(Schnitt1!N:N,MATCH(L53,Schnitt1!L:L,0))+INDEX(Schnitt2!N:N,MATCH(L53,Schnitt2!L:L,0))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INDEX(Schnitt1!M:M,MATCH(L54,Schnitt1!L:L,0))+INDEX(Schnitt2!M:M,MATCH(L54,Schnitt2!L:L,0))</f>
        <v>222</v>
      </c>
      <c r="N54">
        <f>INDEX(Schnitt1!N:N,MATCH(L54,Schnitt1!L:L,0))+INDEX(Schnitt2!N:N,MATCH(L54,Schnitt2!L:L,0))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INDEX(Schnitt1!M:M,MATCH(L55,Schnitt1!L:L,0))+INDEX(Schnitt2!M:M,MATCH(L55,Schnitt2!L:L,0))</f>
        <v>222</v>
      </c>
      <c r="N55">
        <f>INDEX(Schnitt1!N:N,MATCH(L55,Schnitt1!L:L,0))+INDEX(Schnitt2!N:N,MATCH(L55,Schnitt2!L:L,0))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INDEX(Schnitt1!M:M,MATCH(L56,Schnitt1!L:L,0))+INDEX(Schnitt2!M:M,MATCH(L56,Schnitt2!L:L,0))</f>
        <v>222</v>
      </c>
      <c r="N56">
        <f>INDEX(Schnitt1!N:N,MATCH(L56,Schnitt1!L:L,0))+INDEX(Schnitt2!N:N,MATCH(L56,Schnitt2!L:L,0))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INDEX(Schnitt1!M:M,MATCH(L57,Schnitt1!L:L,0))+INDEX(Schnitt2!M:M,MATCH(L57,Schnitt2!L:L,0))</f>
        <v>222</v>
      </c>
      <c r="N57">
        <f>INDEX(Schnitt1!N:N,MATCH(L57,Schnitt1!L:L,0))+INDEX(Schnitt2!N:N,MATCH(L57,Schnitt2!L:L,0))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INDEX(Schnitt1!M:M,MATCH(L58,Schnitt1!L:L,0))+INDEX(Schnitt2!M:M,MATCH(L58,Schnitt2!L:L,0))</f>
        <v>222</v>
      </c>
      <c r="N58">
        <f>INDEX(Schnitt1!N:N,MATCH(L58,Schnitt1!L:L,0))+INDEX(Schnitt2!N:N,MATCH(L58,Schnitt2!L:L,0))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INDEX(Schnitt1!M:M,MATCH(L59,Schnitt1!L:L,0))+INDEX(Schnitt2!M:M,MATCH(L59,Schnitt2!L:L,0))</f>
        <v>222</v>
      </c>
      <c r="N59">
        <f>INDEX(Schnitt1!N:N,MATCH(L59,Schnitt1!L:L,0))+INDEX(Schnitt2!N:N,MATCH(L59,Schnitt2!L:L,0))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INDEX(Schnitt1!M:M,MATCH(L60,Schnitt1!L:L,0))+INDEX(Schnitt2!M:M,MATCH(L60,Schnitt2!L:L,0))</f>
        <v>222</v>
      </c>
      <c r="N60">
        <f>INDEX(Schnitt1!N:N,MATCH(L60,Schnitt1!L:L,0))+INDEX(Schnitt2!N:N,MATCH(L60,Schnitt2!L:L,0))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INDEX(Schnitt1!M:M,MATCH(L61,Schnitt1!L:L,0))+INDEX(Schnitt2!M:M,MATCH(L61,Schnitt2!L:L,0))</f>
        <v>222</v>
      </c>
      <c r="N61">
        <f>INDEX(Schnitt1!N:N,MATCH(L61,Schnitt1!L:L,0))+INDEX(Schnitt2!N:N,MATCH(L61,Schnitt2!L:L,0))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INDEX(Schnitt1!M:M,MATCH(L62,Schnitt1!L:L,0))+INDEX(Schnitt2!M:M,MATCH(L62,Schnitt2!L:L,0))</f>
        <v>222</v>
      </c>
      <c r="N62">
        <f>INDEX(Schnitt1!N:N,MATCH(L62,Schnitt1!L:L,0))+INDEX(Schnitt2!N:N,MATCH(L62,Schnitt2!L:L,0))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INDEX(Schnitt1!M:M,MATCH(L63,Schnitt1!L:L,0))+INDEX(Schnitt2!M:M,MATCH(L63,Schnitt2!L:L,0))</f>
        <v>222</v>
      </c>
      <c r="N63">
        <f>INDEX(Schnitt1!N:N,MATCH(L63,Schnitt1!L:L,0))+INDEX(Schnitt2!N:N,MATCH(L63,Schnitt2!L:L,0))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INDEX(Schnitt1!M:M,MATCH(L64,Schnitt1!L:L,0))+INDEX(Schnitt2!M:M,MATCH(L64,Schnitt2!L:L,0))</f>
        <v>222</v>
      </c>
      <c r="N64">
        <f>INDEX(Schnitt1!N:N,MATCH(L64,Schnitt1!L:L,0))+INDEX(Schnitt2!N:N,MATCH(L64,Schnitt2!L:L,0))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INDEX(Schnitt1!M:M,MATCH(L65,Schnitt1!L:L,0))+INDEX(Schnitt2!M:M,MATCH(L65,Schnitt2!L:L,0))</f>
        <v>222</v>
      </c>
      <c r="N65">
        <f>INDEX(Schnitt1!N:N,MATCH(L65,Schnitt1!L:L,0))+INDEX(Schnitt2!N:N,MATCH(L65,Schnitt2!L:L,0))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INDEX(Schnitt1!M:M,MATCH(L67,Schnitt1!L:L,0))+INDEX(Schnitt2!M:M,MATCH(L67,Schnitt2!L:L,0))</f>
        <v>222</v>
      </c>
      <c r="N67">
        <f>INDEX(Schnitt1!N:N,MATCH(L67,Schnitt1!L:L,0))+INDEX(Schnitt2!N:N,MATCH(L67,Schnitt2!L:L,0))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INDEX(Schnitt1!M:M,MATCH(L68,Schnitt1!L:L,0))+INDEX(Schnitt2!M:M,MATCH(L68,Schnitt2!L:L,0))</f>
        <v>222</v>
      </c>
      <c r="N68">
        <f>INDEX(Schnitt1!N:N,MATCH(L68,Schnitt1!L:L,0))+INDEX(Schnitt2!N:N,MATCH(L68,Schnitt2!L:L,0))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INDEX(Schnitt1!M:M,MATCH(L69,Schnitt1!L:L,0))+INDEX(Schnitt2!M:M,MATCH(L69,Schnitt2!L:L,0))</f>
        <v>222</v>
      </c>
      <c r="N69">
        <f>INDEX(Schnitt1!N:N,MATCH(L69,Schnitt1!L:L,0))+INDEX(Schnitt2!N:N,MATCH(L69,Schnitt2!L:L,0))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INDEX(Schnitt1!M:M,MATCH(L70,Schnitt1!L:L,0))+INDEX(Schnitt2!M:M,MATCH(L70,Schnitt2!L:L,0))</f>
        <v>222</v>
      </c>
      <c r="N70">
        <f>INDEX(Schnitt1!N:N,MATCH(L70,Schnitt1!L:L,0))+INDEX(Schnitt2!N:N,MATCH(L70,Schnitt2!L:L,0))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INDEX(Schnitt1!M:M,MATCH(L71,Schnitt1!L:L,0))+INDEX(Schnitt2!M:M,MATCH(L71,Schnitt2!L:L,0))</f>
        <v>222</v>
      </c>
      <c r="N71">
        <f>INDEX(Schnitt1!N:N,MATCH(L71,Schnitt1!L:L,0))+INDEX(Schnitt2!N:N,MATCH(L71,Schnitt2!L:L,0))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INDEX(Schnitt1!M:M,MATCH(L72,Schnitt1!L:L,0))+INDEX(Schnitt2!M:M,MATCH(L72,Schnitt2!L:L,0))</f>
        <v>222</v>
      </c>
      <c r="N72">
        <f>INDEX(Schnitt1!N:N,MATCH(L72,Schnitt1!L:L,0))+INDEX(Schnitt2!N:N,MATCH(L72,Schnitt2!L:L,0))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INDEX(Schnitt1!M:M,MATCH(L73,Schnitt1!L:L,0))+INDEX(Schnitt2!M:M,MATCH(L73,Schnitt2!L:L,0))</f>
        <v>222</v>
      </c>
      <c r="N73">
        <f>INDEX(Schnitt1!N:N,MATCH(L73,Schnitt1!L:L,0))+INDEX(Schnitt2!N:N,MATCH(L73,Schnitt2!L:L,0))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INDEX(Schnitt1!M:M,MATCH(L74,Schnitt1!L:L,0))+INDEX(Schnitt2!M:M,MATCH(L74,Schnitt2!L:L,0))</f>
        <v>222</v>
      </c>
      <c r="N74">
        <f>INDEX(Schnitt1!N:N,MATCH(L74,Schnitt1!L:L,0))+INDEX(Schnitt2!N:N,MATCH(L74,Schnitt2!L:L,0))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INDEX(Schnitt1!M:M,MATCH(L75,Schnitt1!L:L,0))+INDEX(Schnitt2!M:M,MATCH(L75,Schnitt2!L:L,0))</f>
        <v>222</v>
      </c>
      <c r="N75">
        <f>INDEX(Schnitt1!N:N,MATCH(L75,Schnitt1!L:L,0))+INDEX(Schnitt2!N:N,MATCH(L75,Schnitt2!L:L,0))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INDEX(Schnitt1!M:M,MATCH(L76,Schnitt1!L:L,0))+INDEX(Schnitt2!M:M,MATCH(L76,Schnitt2!L:L,0))</f>
        <v>222</v>
      </c>
      <c r="N76">
        <f>INDEX(Schnitt1!N:N,MATCH(L76,Schnitt1!L:L,0))+INDEX(Schnitt2!N:N,MATCH(L76,Schnitt2!L:L,0))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INDEX(Schnitt1!M:M,MATCH(L77,Schnitt1!L:L,0))+INDEX(Schnitt2!M:M,MATCH(L77,Schnitt2!L:L,0))</f>
        <v>222</v>
      </c>
      <c r="N77">
        <f>INDEX(Schnitt1!N:N,MATCH(L77,Schnitt1!L:L,0))+INDEX(Schnitt2!N:N,MATCH(L77,Schnitt2!L:L,0))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INDEX(Schnitt1!M:M,MATCH(L78,Schnitt1!L:L,0))+INDEX(Schnitt2!M:M,MATCH(L78,Schnitt2!L:L,0))</f>
        <v>222</v>
      </c>
      <c r="N78">
        <f>INDEX(Schnitt1!N:N,MATCH(L78,Schnitt1!L:L,0))+INDEX(Schnitt2!N:N,MATCH(L78,Schnitt2!L:L,0))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INDEX(Schnitt1!M:M,MATCH(L79,Schnitt1!L:L,0))+INDEX(Schnitt2!M:M,MATCH(L79,Schnitt2!L:L,0))</f>
        <v>222</v>
      </c>
      <c r="N79">
        <f>INDEX(Schnitt1!N:N,MATCH(L79,Schnitt1!L:L,0))+INDEX(Schnitt2!N:N,MATCH(L79,Schnitt2!L:L,0))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INDEX(Schnitt1!M:M,MATCH(L80,Schnitt1!L:L,0))+INDEX(Schnitt2!M:M,MATCH(L80,Schnitt2!L:L,0))</f>
        <v>222</v>
      </c>
      <c r="N80">
        <f>INDEX(Schnitt1!N:N,MATCH(L80,Schnitt1!L:L,0))+INDEX(Schnitt2!N:N,MATCH(L80,Schnitt2!L:L,0))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INDEX(Schnitt1!M:M,MATCH(L81,Schnitt1!L:L,0))+INDEX(Schnitt2!M:M,MATCH(L81,Schnitt2!L:L,0))</f>
        <v>222</v>
      </c>
      <c r="N81">
        <f>INDEX(Schnitt1!N:N,MATCH(L81,Schnitt1!L:L,0))+INDEX(Schnitt2!N:N,MATCH(L81,Schnitt2!L:L,0))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INDEX(Schnitt1!M:M,MATCH(L82,Schnitt1!L:L,0))+INDEX(Schnitt2!M:M,MATCH(L82,Schnitt2!L:L,0))</f>
        <v>222</v>
      </c>
      <c r="N82">
        <f>INDEX(Schnitt1!N:N,MATCH(L82,Schnitt1!L:L,0))+INDEX(Schnitt2!N:N,MATCH(L82,Schnitt2!L:L,0))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INDEX(Schnitt1!M:M,MATCH(L83,Schnitt1!L:L,0))+INDEX(Schnitt2!M:M,MATCH(L83,Schnitt2!L:L,0))</f>
        <v>222</v>
      </c>
      <c r="N83">
        <f>INDEX(Schnitt1!N:N,MATCH(L83,Schnitt1!L:L,0))+INDEX(Schnitt2!N:N,MATCH(L83,Schnitt2!L:L,0))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INDEX(Schnitt1!M:M,MATCH(L85,Schnitt1!L:L,0))+INDEX(Schnitt2!M:M,MATCH(L85,Schnitt2!L:L,0))</f>
        <v>222</v>
      </c>
      <c r="N85">
        <f>INDEX(Schnitt1!N:N,MATCH(L85,Schnitt1!L:L,0))+INDEX(Schnitt2!N:N,MATCH(L85,Schnitt2!L:L,0))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INDEX(Schnitt1!M:M,MATCH(L86,Schnitt1!L:L,0))+INDEX(Schnitt2!M:M,MATCH(L86,Schnitt2!L:L,0))</f>
        <v>222</v>
      </c>
      <c r="N86">
        <f>INDEX(Schnitt1!N:N,MATCH(L86,Schnitt1!L:L,0))+INDEX(Schnitt2!N:N,MATCH(L86,Schnitt2!L:L,0))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INDEX(Schnitt1!M:M,MATCH(L87,Schnitt1!L:L,0))+INDEX(Schnitt2!M:M,MATCH(L87,Schnitt2!L:L,0))</f>
        <v>222</v>
      </c>
      <c r="N87">
        <f>INDEX(Schnitt1!N:N,MATCH(L87,Schnitt1!L:L,0))+INDEX(Schnitt2!N:N,MATCH(L87,Schnitt2!L:L,0))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INDEX(Schnitt1!M:M,MATCH(L88,Schnitt1!L:L,0))+INDEX(Schnitt2!M:M,MATCH(L88,Schnitt2!L:L,0))</f>
        <v>222</v>
      </c>
      <c r="N88">
        <f>INDEX(Schnitt1!N:N,MATCH(L88,Schnitt1!L:L,0))+INDEX(Schnitt2!N:N,MATCH(L88,Schnitt2!L:L,0))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INDEX(Schnitt1!M:M,MATCH(L89,Schnitt1!L:L,0))+INDEX(Schnitt2!M:M,MATCH(L89,Schnitt2!L:L,0))</f>
        <v>222</v>
      </c>
      <c r="N89">
        <f>INDEX(Schnitt1!N:N,MATCH(L89,Schnitt1!L:L,0))+INDEX(Schnitt2!N:N,MATCH(L89,Schnitt2!L:L,0))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INDEX(Schnitt1!M:M,MATCH(L90,Schnitt1!L:L,0))+INDEX(Schnitt2!M:M,MATCH(L90,Schnitt2!L:L,0))</f>
        <v>222</v>
      </c>
      <c r="N90">
        <f>INDEX(Schnitt1!N:N,MATCH(L90,Schnitt1!L:L,0))+INDEX(Schnitt2!N:N,MATCH(L90,Schnitt2!L:L,0))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INDEX(Schnitt1!M:M,MATCH(L91,Schnitt1!L:L,0))+INDEX(Schnitt2!M:M,MATCH(L91,Schnitt2!L:L,0))</f>
        <v>222</v>
      </c>
      <c r="N91">
        <f>INDEX(Schnitt1!N:N,MATCH(L91,Schnitt1!L:L,0))+INDEX(Schnitt2!N:N,MATCH(L91,Schnitt2!L:L,0))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INDEX(Schnitt1!M:M,MATCH(L92,Schnitt1!L:L,0))+INDEX(Schnitt2!M:M,MATCH(L92,Schnitt2!L:L,0))</f>
        <v>222</v>
      </c>
      <c r="N92">
        <f>INDEX(Schnitt1!N:N,MATCH(L92,Schnitt1!L:L,0))+INDEX(Schnitt2!N:N,MATCH(L92,Schnitt2!L:L,0))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INDEX(Schnitt1!M:M,MATCH(L93,Schnitt1!L:L,0))+INDEX(Schnitt2!M:M,MATCH(L93,Schnitt2!L:L,0))</f>
        <v>222</v>
      </c>
      <c r="N93">
        <f>INDEX(Schnitt1!N:N,MATCH(L93,Schnitt1!L:L,0))+INDEX(Schnitt2!N:N,MATCH(L93,Schnitt2!L:L,0))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INDEX(Schnitt1!M:M,MATCH(L94,Schnitt1!L:L,0))+INDEX(Schnitt2!M:M,MATCH(L94,Schnitt2!L:L,0))</f>
        <v>222</v>
      </c>
      <c r="N94">
        <f>INDEX(Schnitt1!N:N,MATCH(L94,Schnitt1!L:L,0))+INDEX(Schnitt2!N:N,MATCH(L94,Schnitt2!L:L,0))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INDEX(Schnitt1!M:M,MATCH(L95,Schnitt1!L:L,0))+INDEX(Schnitt2!M:M,MATCH(L95,Schnitt2!L:L,0))</f>
        <v>222</v>
      </c>
      <c r="N95">
        <f>INDEX(Schnitt1!N:N,MATCH(L95,Schnitt1!L:L,0))+INDEX(Schnitt2!N:N,MATCH(L95,Schnitt2!L:L,0))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INDEX(Schnitt1!M:M,MATCH(L96,Schnitt1!L:L,0))+INDEX(Schnitt2!M:M,MATCH(L96,Schnitt2!L:L,0))</f>
        <v>222</v>
      </c>
      <c r="N96">
        <f>INDEX(Schnitt1!N:N,MATCH(L96,Schnitt1!L:L,0))+INDEX(Schnitt2!N:N,MATCH(L96,Schnitt2!L:L,0))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INDEX(Schnitt1!M:M,MATCH(L97,Schnitt1!L:L,0))+INDEX(Schnitt2!M:M,MATCH(L97,Schnitt2!L:L,0))</f>
        <v>222</v>
      </c>
      <c r="N97">
        <f>INDEX(Schnitt1!N:N,MATCH(L97,Schnitt1!L:L,0))+INDEX(Schnitt2!N:N,MATCH(L97,Schnitt2!L:L,0))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INDEX(Schnitt1!M:M,MATCH(L98,Schnitt1!L:L,0))+INDEX(Schnitt2!M:M,MATCH(L98,Schnitt2!L:L,0))</f>
        <v>222</v>
      </c>
      <c r="N98">
        <f>INDEX(Schnitt1!N:N,MATCH(L98,Schnitt1!L:L,0))+INDEX(Schnitt2!N:N,MATCH(L98,Schnitt2!L:L,0))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INDEX(Schnitt1!M:M,MATCH(L99,Schnitt1!L:L,0))+INDEX(Schnitt2!M:M,MATCH(L99,Schnitt2!L:L,0))</f>
        <v>222</v>
      </c>
      <c r="N99">
        <f>INDEX(Schnitt1!N:N,MATCH(L99,Schnitt1!L:L,0))+INDEX(Schnitt2!N:N,MATCH(L99,Schnitt2!L:L,0))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+Spielzettel3!M2</f>
        <v>3</v>
      </c>
      <c r="F6" s="325"/>
      <c r="P6" s="128" t="s">
        <v>1821</v>
      </c>
      <c r="Q6" s="326" t="str">
        <f>+Spielzettel3!L1</f>
        <v>16.02.</v>
      </c>
      <c r="R6" s="327">
        <v>0</v>
      </c>
      <c r="S6" s="327">
        <v>0</v>
      </c>
      <c r="T6" s="328">
        <v>0</v>
      </c>
      <c r="U6" s="61"/>
    </row>
    <row r="7" spans="2:21" x14ac:dyDescent="0.25">
      <c r="B7" s="60"/>
      <c r="C7" s="128"/>
      <c r="D7" s="128"/>
      <c r="U7" s="61"/>
    </row>
    <row r="8" spans="2:21" x14ac:dyDescent="0.25">
      <c r="B8" s="60"/>
      <c r="C8" s="128" t="s">
        <v>1822</v>
      </c>
      <c r="D8" s="128"/>
      <c r="E8" s="329" t="str">
        <f>+Spielzettel3!D2</f>
        <v>Nürnberg West Bowling</v>
      </c>
      <c r="F8" s="330"/>
      <c r="G8" s="330"/>
      <c r="H8" s="330">
        <v>0</v>
      </c>
      <c r="I8" s="330"/>
      <c r="J8" s="331"/>
      <c r="N8" s="128" t="s">
        <v>1823</v>
      </c>
      <c r="P8" s="329" t="str">
        <f>+Spielzettel3!D1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7" t="s">
        <v>2411</v>
      </c>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Schlüssel!$BA$1</f>
        <v>16.02.</v>
      </c>
      <c r="M1" s="353"/>
      <c r="N1" s="353"/>
      <c r="O1" s="353"/>
      <c r="P1" s="353"/>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VLOOKUP(B2,Schlüssel!$A$5:$DF$10,43)</f>
        <v>3</v>
      </c>
      <c r="E22" s="363"/>
      <c r="F22" s="363">
        <f>VLOOKUP(B2,Schlüssel!$A$5:$DF$10,44)</f>
        <v>3</v>
      </c>
      <c r="G22" s="363"/>
      <c r="H22" s="363">
        <f>VLOOKUP(B2,Schlüssel!$A$5:$DF$10,45)</f>
        <v>3</v>
      </c>
      <c r="I22" s="363"/>
      <c r="J22" s="363">
        <f>VLOOKUP(B2,Schlüssel!$A$5:$DF$10,46)</f>
        <v>3</v>
      </c>
      <c r="K22" s="363"/>
      <c r="L22" s="363">
        <f>VLOOKUP(B2,Schlüssel!$A$5:$DF$10,47)</f>
        <v>3</v>
      </c>
      <c r="M22" s="363"/>
      <c r="N22" s="363">
        <f>VLOOKUP(B2,Schlüssel!$A$5:$DF$10,48)</f>
        <v>3</v>
      </c>
      <c r="O22" s="363"/>
      <c r="P22" s="364"/>
      <c r="Q22" s="364"/>
    </row>
    <row r="23" spans="1:31" ht="28.5" customHeight="1" x14ac:dyDescent="0.25">
      <c r="B23" s="4"/>
      <c r="C23" s="1"/>
      <c r="D23" s="360" t="str">
        <f>VLOOKUP(D22,Schlüssel!$A$5:$K$10,2)</f>
        <v>Mainauenbowler Bayreuth Land</v>
      </c>
      <c r="E23" s="361"/>
      <c r="F23" s="360" t="str">
        <f>VLOOKUP(F22,Schlüssel!$A$5:$K$10,2)</f>
        <v>Mainauenbowler Bayreuth Land</v>
      </c>
      <c r="G23" s="361"/>
      <c r="H23" s="360" t="str">
        <f>VLOOKUP(H22,Schlüssel!$A$5:$K$10,2)</f>
        <v>Mainauenbowler Bayreuth Land</v>
      </c>
      <c r="I23" s="361"/>
      <c r="J23" s="360" t="str">
        <f>VLOOKUP(J22,Schlüssel!$A$5:$K$10,2)</f>
        <v>Mainauenbowler Bayreuth Land</v>
      </c>
      <c r="K23" s="361"/>
      <c r="L23" s="360" t="str">
        <f>VLOOKUP(L22,Schlüssel!$A$5:$K$10,2)</f>
        <v>Mainauenbowler Bayreuth Land</v>
      </c>
      <c r="M23" s="361"/>
      <c r="N23" s="360" t="str">
        <f>VLOOKUP(N22,Schlüssel!$A$5:$K$10,2)</f>
        <v>Mainauenbowler Bayreuth Land</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Schlüssel!$BA$1</f>
        <v>16.02.</v>
      </c>
      <c r="M30" s="353"/>
      <c r="N30" s="353"/>
      <c r="O30" s="353"/>
      <c r="P30" s="353"/>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VLOOKUP(B31,Schlüssel!$A$5:$DF$10,43)</f>
        <v>0</v>
      </c>
      <c r="E51" s="363"/>
      <c r="F51" s="363">
        <f>VLOOKUP(B31,Schlüssel!$A$5:$DF$10,44)</f>
        <v>0</v>
      </c>
      <c r="G51" s="363"/>
      <c r="H51" s="363">
        <f>VLOOKUP(B31,Schlüssel!$A$5:$DF$10,45)</f>
        <v>0</v>
      </c>
      <c r="I51" s="363"/>
      <c r="J51" s="363">
        <f>VLOOKUP(B31,Schlüssel!$A$5:$DF$10,46)</f>
        <v>0</v>
      </c>
      <c r="K51" s="363"/>
      <c r="L51" s="363">
        <f>VLOOKUP(B31,Schlüssel!$A$5:$DF$10,47)</f>
        <v>0</v>
      </c>
      <c r="M51" s="363"/>
      <c r="N51" s="363">
        <f>VLOOKUP(B31,Schlüssel!$A$5:$DF$10,48)</f>
        <v>0</v>
      </c>
      <c r="O51" s="363"/>
      <c r="P51" s="364"/>
      <c r="Q51" s="364"/>
    </row>
    <row r="52" spans="1:31" ht="28.5" customHeight="1" x14ac:dyDescent="0.25">
      <c r="B52" s="4"/>
      <c r="C52" s="1"/>
      <c r="D52" s="360" t="e">
        <f>VLOOKUP(D51,Schlüssel!$A$5:$K$10,2)</f>
        <v>#N/A</v>
      </c>
      <c r="E52" s="361"/>
      <c r="F52" s="360" t="e">
        <f>VLOOKUP(F51,Schlüssel!$A$5:$K$10,2)</f>
        <v>#N/A</v>
      </c>
      <c r="G52" s="361"/>
      <c r="H52" s="360" t="e">
        <f>VLOOKUP(H51,Schlüssel!$A$5:$K$10,2)</f>
        <v>#N/A</v>
      </c>
      <c r="I52" s="361"/>
      <c r="J52" s="360" t="e">
        <f>VLOOKUP(J51,Schlüssel!$A$5:$K$10,2)</f>
        <v>#N/A</v>
      </c>
      <c r="K52" s="361"/>
      <c r="L52" s="360" t="e">
        <f>VLOOKUP(L51,Schlüssel!$A$5:$K$10,2)</f>
        <v>#N/A</v>
      </c>
      <c r="M52" s="361"/>
      <c r="N52" s="360" t="e">
        <f>VLOOKUP(N51,Schlüssel!$A$5:$K$10,2)</f>
        <v>#N/A</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Schlüssel!$BA$1</f>
        <v>16.02.</v>
      </c>
      <c r="M59" s="353"/>
      <c r="N59" s="353"/>
      <c r="O59" s="353"/>
      <c r="P59" s="353"/>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VLOOKUP(B60,Schlüssel!$A$5:$DF$10,43)</f>
        <v>1</v>
      </c>
      <c r="E80" s="363"/>
      <c r="F80" s="363">
        <f>VLOOKUP(B60,Schlüssel!$A$5:$DF$10,44)</f>
        <v>1</v>
      </c>
      <c r="G80" s="363"/>
      <c r="H80" s="363">
        <f>VLOOKUP(B60,Schlüssel!$A$5:$DF$10,45)</f>
        <v>1</v>
      </c>
      <c r="I80" s="363"/>
      <c r="J80" s="363">
        <f>VLOOKUP(B60,Schlüssel!$A$5:$DF$10,46)</f>
        <v>1</v>
      </c>
      <c r="K80" s="363"/>
      <c r="L80" s="363">
        <f>VLOOKUP(B60,Schlüssel!$A$5:$DF$10,47)</f>
        <v>1</v>
      </c>
      <c r="M80" s="363"/>
      <c r="N80" s="363">
        <f>VLOOKUP(B60,Schlüssel!$A$5:$DF$10,48)</f>
        <v>1</v>
      </c>
      <c r="O80" s="363"/>
      <c r="P80" s="364"/>
      <c r="Q80" s="364"/>
    </row>
    <row r="81" spans="2:17" ht="28.5" customHeight="1" x14ac:dyDescent="0.25">
      <c r="B81" s="4"/>
      <c r="C81" s="1"/>
      <c r="D81" s="360" t="str">
        <f>VLOOKUP(D80,Schlüssel!$A$5:$K$10,2)</f>
        <v>Kleeblatt Fürth</v>
      </c>
      <c r="E81" s="361"/>
      <c r="F81" s="360" t="str">
        <f>VLOOKUP(F80,Schlüssel!$A$5:$K$10,2)</f>
        <v>Kleeblatt Fürth</v>
      </c>
      <c r="G81" s="361"/>
      <c r="H81" s="360" t="str">
        <f>VLOOKUP(H80,Schlüssel!$A$5:$K$10,2)</f>
        <v>Kleeblatt Fürth</v>
      </c>
      <c r="I81" s="361"/>
      <c r="J81" s="360" t="str">
        <f>VLOOKUP(J80,Schlüssel!$A$5:$K$10,2)</f>
        <v>Kleeblatt Fürth</v>
      </c>
      <c r="K81" s="361"/>
      <c r="L81" s="360" t="str">
        <f>VLOOKUP(L80,Schlüssel!$A$5:$K$10,2)</f>
        <v>Kleeblatt Fürth</v>
      </c>
      <c r="M81" s="361"/>
      <c r="N81" s="360" t="str">
        <f>VLOOKUP(N80,Schlüssel!$A$5:$K$10,2)</f>
        <v>Kleeblatt Fürth</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view="pageBreakPreview" topLeftCell="R4" zoomScaleNormal="100" zoomScaleSheetLayoutView="100" workbookViewId="0">
      <selection activeCell="AE77" sqref="AE7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16.02.</v>
      </c>
      <c r="N1" s="366"/>
      <c r="O1" s="366"/>
      <c r="P1" s="368"/>
      <c r="Q1" s="368"/>
      <c r="R1" s="368"/>
      <c r="S1" s="7" t="s">
        <v>1798</v>
      </c>
      <c r="T1" s="25"/>
      <c r="U1" s="30" t="s">
        <v>1782</v>
      </c>
      <c r="V1" s="76" t="str">
        <f>Schlüssel!$C$1</f>
        <v>Landesliga Nord Frauen</v>
      </c>
      <c r="X1" s="25"/>
      <c r="Y1" s="25"/>
      <c r="Z1" s="25"/>
      <c r="AA1" s="25"/>
      <c r="AC1" s="29"/>
      <c r="AD1" s="353" t="str">
        <f>Schlüssel!$BA$1</f>
        <v>16.02.</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Röde, Sigrid</v>
      </c>
      <c r="C7" s="18">
        <f>IF(T7=0,"",T7)</f>
        <v>38825</v>
      </c>
      <c r="D7" s="14">
        <f>IF(U7=0,"",U7)</f>
        <v>159</v>
      </c>
      <c r="E7" s="350">
        <f>IF(V7="","",V7)</f>
        <v>1</v>
      </c>
      <c r="F7" s="14">
        <f t="shared" ref="F7:F20" si="0">IF(W7=0,"",W7)</f>
        <v>120</v>
      </c>
      <c r="G7" s="350">
        <f>IF(X7="","",X7)</f>
        <v>0</v>
      </c>
      <c r="H7" s="14">
        <f t="shared" ref="H7:H20" si="1">IF(Y7=0,"",Y7)</f>
        <v>178</v>
      </c>
      <c r="I7" s="350">
        <f>IF(Z7="","",Z7)</f>
        <v>1</v>
      </c>
      <c r="J7" s="14">
        <f t="shared" ref="J7:J20" si="2">IF(AA7=0,"",AA7)</f>
        <v>157</v>
      </c>
      <c r="K7" s="350">
        <f>IF(AB7="","",AB7)</f>
        <v>1</v>
      </c>
      <c r="L7" s="14">
        <f t="shared" ref="L7:L20" si="3">IF(AC7=0,"",AC7)</f>
        <v>179</v>
      </c>
      <c r="M7" s="350">
        <f>IF(AD7="","",AD7)</f>
        <v>1</v>
      </c>
      <c r="N7" s="14">
        <f t="shared" ref="N7:N20" si="4">IF(AG7=0,"",AG7)</f>
        <v>929</v>
      </c>
      <c r="O7" s="350">
        <f>IF(AH7="","",AH7)</f>
        <v>5</v>
      </c>
      <c r="R7" s="357"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1" t="s">
        <v>2</v>
      </c>
      <c r="B10" s="17" t="str">
        <f t="shared" si="21"/>
        <v>Herderich, Christine</v>
      </c>
      <c r="C10" s="18">
        <f t="shared" si="21"/>
        <v>7956</v>
      </c>
      <c r="D10" s="14">
        <f t="shared" si="21"/>
        <v>160</v>
      </c>
      <c r="E10" s="350">
        <f>IF(V10="","",V10)</f>
        <v>0</v>
      </c>
      <c r="F10" s="14">
        <f t="shared" si="0"/>
        <v>128</v>
      </c>
      <c r="G10" s="350">
        <f>IF(X10="","",X10)</f>
        <v>0</v>
      </c>
      <c r="H10" s="14">
        <f t="shared" si="1"/>
        <v>135</v>
      </c>
      <c r="I10" s="350">
        <f>IF(Z10="","",Z10)</f>
        <v>0</v>
      </c>
      <c r="J10" s="14" t="str">
        <f t="shared" si="2"/>
        <v/>
      </c>
      <c r="K10" s="350">
        <f>IF(AB10="","",AB10)</f>
        <v>0.5</v>
      </c>
      <c r="L10" s="14" t="str">
        <f t="shared" si="3"/>
        <v/>
      </c>
      <c r="M10" s="350">
        <f>IF(AD10="","",AD10)</f>
        <v>0</v>
      </c>
      <c r="N10" s="14">
        <f t="shared" si="4"/>
        <v>423</v>
      </c>
      <c r="O10" s="350">
        <f>IF(AH10="","",AH10)</f>
        <v>1.5</v>
      </c>
      <c r="R10" s="357"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5">
      <c r="A11" s="372"/>
      <c r="B11" s="19" t="str">
        <f t="shared" si="21"/>
        <v>Hofmann, Hildegard</v>
      </c>
      <c r="C11" s="20">
        <f t="shared" si="21"/>
        <v>7952</v>
      </c>
      <c r="D11" s="15" t="str">
        <f t="shared" si="21"/>
        <v/>
      </c>
      <c r="E11" s="351"/>
      <c r="F11" s="15" t="str">
        <f t="shared" si="0"/>
        <v/>
      </c>
      <c r="G11" s="351"/>
      <c r="H11" s="15" t="str">
        <f t="shared" si="1"/>
        <v/>
      </c>
      <c r="I11" s="351"/>
      <c r="J11" s="15">
        <f t="shared" si="2"/>
        <v>151</v>
      </c>
      <c r="K11" s="351"/>
      <c r="L11" s="15">
        <f t="shared" si="3"/>
        <v>156</v>
      </c>
      <c r="M11" s="351"/>
      <c r="N11" s="15">
        <f t="shared" si="4"/>
        <v>483</v>
      </c>
      <c r="O11" s="351"/>
      <c r="R11" s="358"/>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1" t="s">
        <v>3</v>
      </c>
      <c r="B13" s="17" t="str">
        <f t="shared" si="21"/>
        <v>Beinlich, Gabriele</v>
      </c>
      <c r="C13" s="18">
        <f t="shared" si="21"/>
        <v>38697</v>
      </c>
      <c r="D13" s="14">
        <f t="shared" si="21"/>
        <v>164</v>
      </c>
      <c r="E13" s="350">
        <f>IF(V13="","",V13)</f>
        <v>0</v>
      </c>
      <c r="F13" s="14">
        <f t="shared" si="0"/>
        <v>149</v>
      </c>
      <c r="G13" s="350">
        <f>IF(X13="","",X13)</f>
        <v>0</v>
      </c>
      <c r="H13" s="14">
        <f t="shared" si="1"/>
        <v>119</v>
      </c>
      <c r="I13" s="350">
        <f>IF(Z13="","",Z13)</f>
        <v>0</v>
      </c>
      <c r="J13" s="14">
        <f t="shared" si="2"/>
        <v>147</v>
      </c>
      <c r="K13" s="350">
        <f>IF(AB13="","",AB13)</f>
        <v>0</v>
      </c>
      <c r="L13" s="14">
        <f t="shared" si="3"/>
        <v>154</v>
      </c>
      <c r="M13" s="350">
        <f>IF(AD13="","",AD13)</f>
        <v>0</v>
      </c>
      <c r="N13" s="14">
        <f t="shared" si="4"/>
        <v>893</v>
      </c>
      <c r="O13" s="350">
        <f>IF(AH13="","",AH13)</f>
        <v>1</v>
      </c>
      <c r="R13" s="357"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1" t="s">
        <v>11</v>
      </c>
      <c r="B16" s="17" t="str">
        <f>IF(S16=0,"",S16)</f>
        <v>Hackel, Monika</v>
      </c>
      <c r="C16" s="18">
        <f t="shared" si="21"/>
        <v>38512</v>
      </c>
      <c r="D16" s="14">
        <f t="shared" si="21"/>
        <v>168</v>
      </c>
      <c r="E16" s="350">
        <f>IF(V16="","",V16)</f>
        <v>0</v>
      </c>
      <c r="F16" s="14">
        <f t="shared" si="0"/>
        <v>211</v>
      </c>
      <c r="G16" s="350">
        <f>IF(X16="","",X16)</f>
        <v>1</v>
      </c>
      <c r="H16" s="14">
        <f t="shared" si="1"/>
        <v>153</v>
      </c>
      <c r="I16" s="350">
        <f>IF(Z16="","",Z16)</f>
        <v>0</v>
      </c>
      <c r="J16" s="14">
        <f t="shared" si="2"/>
        <v>151</v>
      </c>
      <c r="K16" s="350">
        <f>IF(AB16="","",AB16)</f>
        <v>1</v>
      </c>
      <c r="L16" s="14">
        <f t="shared" si="3"/>
        <v>147</v>
      </c>
      <c r="M16" s="350">
        <f>IF(AD16="","",AD16)</f>
        <v>1</v>
      </c>
      <c r="N16" s="14">
        <f t="shared" si="4"/>
        <v>992</v>
      </c>
      <c r="O16" s="350">
        <f>IF(AH16="","",AH16)</f>
        <v>3</v>
      </c>
      <c r="R16" s="357"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si="24"/>
        <v>3</v>
      </c>
      <c r="M22" s="363" t="str">
        <f t="shared" si="24"/>
        <v/>
      </c>
      <c r="N22" s="364"/>
      <c r="O22" s="364"/>
      <c r="S22" s="13" t="s">
        <v>1786</v>
      </c>
      <c r="T22" s="5" t="s">
        <v>1787</v>
      </c>
      <c r="U22" s="369">
        <f>VLOOKUP($S2,Schlüssel!$A$5:$CX$10,43)</f>
        <v>3</v>
      </c>
      <c r="V22" s="370"/>
      <c r="W22" s="369">
        <f>VLOOKUP($S2,Schlüssel!$A$5:$DQ$10,44)</f>
        <v>3</v>
      </c>
      <c r="X22" s="370"/>
      <c r="Y22" s="369">
        <f>VLOOKUP($S2,Schlüssel!$A$5:$DQ$10,45)</f>
        <v>3</v>
      </c>
      <c r="Z22" s="370"/>
      <c r="AA22" s="369">
        <f>VLOOKUP($S2,Schlüssel!$A$5:$DQ$10,46)</f>
        <v>3</v>
      </c>
      <c r="AB22" s="370"/>
      <c r="AC22" s="369">
        <f>VLOOKUP($S2,Schlüssel!$A$5:$DQ$10,47)</f>
        <v>3</v>
      </c>
      <c r="AD22" s="370"/>
      <c r="AE22" s="369">
        <f>VLOOKUP($S2,Schlüssel!$A$5:$DQ$10,48)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Mainauenbowler Bayreuth Land</v>
      </c>
      <c r="E23" s="361" t="str">
        <f t="shared" si="25"/>
        <v/>
      </c>
      <c r="F23" s="360" t="str">
        <f t="shared" si="25"/>
        <v>Mainauenbowler Bayreuth Land</v>
      </c>
      <c r="G23" s="361" t="str">
        <f t="shared" si="25"/>
        <v/>
      </c>
      <c r="H23" s="360" t="str">
        <f t="shared" si="25"/>
        <v>Mainauenbowler Bayreuth Land</v>
      </c>
      <c r="I23" s="361" t="str">
        <f t="shared" si="25"/>
        <v/>
      </c>
      <c r="J23" s="360" t="str">
        <f t="shared" si="25"/>
        <v>Mainauenbowler Bayreuth Land</v>
      </c>
      <c r="K23" s="361" t="str">
        <f t="shared" si="25"/>
        <v/>
      </c>
      <c r="L23" s="360" t="str">
        <f>IF(AC23=0,"",AC23)</f>
        <v>Mainauenbowler Bayreuth Land</v>
      </c>
      <c r="M23" s="361" t="str">
        <f>IF(AD23=0,"",AD23)</f>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125</v>
      </c>
      <c r="E25" s="346" t="str">
        <f>IF(V25=0,"",V25)</f>
        <v/>
      </c>
      <c r="F25" s="346">
        <f>IF(W25=301,"",W25)</f>
        <v>146</v>
      </c>
      <c r="G25" s="346" t="str">
        <f>IF(X25=0,"",X25)</f>
        <v/>
      </c>
      <c r="H25" s="346">
        <f>IF(Y25=301,"",Y25)</f>
        <v>124</v>
      </c>
      <c r="I25" s="346" t="str">
        <f>IF(Z25=0,"",Z25)</f>
        <v/>
      </c>
      <c r="J25" s="346">
        <f>IF(AA25=301,"",AA25)</f>
        <v>156</v>
      </c>
      <c r="K25" s="346" t="str">
        <f>IF(AB25=0,"",AB25)</f>
        <v/>
      </c>
      <c r="L25" s="346">
        <f>IF(AC25=301,"",AC25)</f>
        <v>162</v>
      </c>
      <c r="M25" s="346" t="str">
        <f>IF(AD25=0,"",AD25)</f>
        <v/>
      </c>
      <c r="N25" s="354"/>
      <c r="O25" s="354"/>
      <c r="S25" s="35" t="s">
        <v>0</v>
      </c>
      <c r="T25" s="36"/>
      <c r="U25" s="374">
        <f>ABS(INDEX(U:U,MATCH(U22,$S:$S,0)+5)+INDEX(U:U,MATCH(U22,$S:$S,0)+6)+INDEX(U:U,MATCH(U22,$S:$S,0)+7))</f>
        <v>125</v>
      </c>
      <c r="V25" s="375"/>
      <c r="W25" s="374">
        <f>ABS(INDEX(W:W,MATCH(W22,$S:$S,0)+5)+INDEX(W:W,MATCH(W22,$S:$S,0)+6)+INDEX(W:W,MATCH(W22,$S:$S,0)+7))</f>
        <v>146</v>
      </c>
      <c r="X25" s="375"/>
      <c r="Y25" s="374">
        <f>ABS(INDEX(Y:Y,MATCH(Y22,$S:$S,0)+5)+INDEX(Y:Y,MATCH(Y22,$S:$S,0)+6)+INDEX(Y:Y,MATCH(Y22,$S:$S,0)+7))</f>
        <v>124</v>
      </c>
      <c r="Z25" s="375"/>
      <c r="AA25" s="374">
        <f>ABS(INDEX(AA:AA,MATCH(AA22,$S:$S,0)+5)+INDEX(AA:AA,MATCH(AA22,$S:$S,0)+6)+INDEX(AA:AA,MATCH(AA22,$S:$S,0)+7))</f>
        <v>156</v>
      </c>
      <c r="AB25" s="375"/>
      <c r="AC25" s="374">
        <f>ABS(INDEX(AC:AC,MATCH(AC22,$S:$S,0)+5)+INDEX(AC:AC,MATCH(AC22,$S:$S,0)+6)+INDEX(AC:AC,MATCH(AC22,$S:$S,0)+7))</f>
        <v>162</v>
      </c>
      <c r="AD25" s="375"/>
      <c r="AE25" s="374">
        <f>ABS(INDEX(AE:AE,MATCH(AE22,$S:$S,0)+5)+INDEX(AE:AE,MATCH(AE22,$S:$S,0)+6)+INDEX(AE:AE,MATCH(AE22,$S:$S,0)+7))</f>
        <v>116</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172</v>
      </c>
      <c r="E26" s="346" t="str">
        <f>IF(V26=0,"",V26)</f>
        <v/>
      </c>
      <c r="F26" s="346">
        <f>IF(W26=301,"",W26)</f>
        <v>139</v>
      </c>
      <c r="G26" s="346" t="str">
        <f>IF(X26=0,"",X26)</f>
        <v/>
      </c>
      <c r="H26" s="346">
        <f>IF(Y26=301,"",Y26)</f>
        <v>168</v>
      </c>
      <c r="I26" s="346" t="str">
        <f>IF(Z26=0,"",Z26)</f>
        <v/>
      </c>
      <c r="J26" s="346">
        <f>IF(AA26=301,"",AA26)</f>
        <v>151</v>
      </c>
      <c r="K26" s="346" t="str">
        <f>IF(AB26=0,"",AB26)</f>
        <v/>
      </c>
      <c r="L26" s="346">
        <f>IF(AC26=301,"",AC26)</f>
        <v>202</v>
      </c>
      <c r="M26" s="346" t="str">
        <f>IF(AD26=0,"",AD26)</f>
        <v/>
      </c>
      <c r="N26" s="354"/>
      <c r="O26" s="354"/>
      <c r="S26" s="35" t="s">
        <v>2</v>
      </c>
      <c r="T26" s="36"/>
      <c r="U26" s="376">
        <f>ABS(INDEX(U:U,MATCH(U22,$S:$S,0)+8)+INDEX(U:U,MATCH(U22,$S:$S,0)+9)+INDEX(U:U,MATCH(U22,$S:$S,0)+10))</f>
        <v>172</v>
      </c>
      <c r="V26" s="377"/>
      <c r="W26" s="376">
        <f>ABS(INDEX(W:W,MATCH(W22,$S:$S,0)+8)+INDEX(W:W,MATCH(W22,$S:$S,0)+9)+INDEX(W:W,MATCH(W22,$S:$S,0)+10))</f>
        <v>139</v>
      </c>
      <c r="X26" s="377"/>
      <c r="Y26" s="376">
        <f>ABS(INDEX(Y:Y,MATCH(Y22,$S:$S,0)+8)+INDEX(Y:Y,MATCH(Y22,$S:$S,0)+9)+INDEX(Y:Y,MATCH(Y22,$S:$S,0)+10))</f>
        <v>168</v>
      </c>
      <c r="Z26" s="377"/>
      <c r="AA26" s="376">
        <f>ABS(INDEX(AA:AA,MATCH(AA22,$S:$S,0)+8)+INDEX(AA:AA,MATCH(AA22,$S:$S,0)+9)+INDEX(AA:AA,MATCH(AA22,$S:$S,0)+10))</f>
        <v>151</v>
      </c>
      <c r="AB26" s="377"/>
      <c r="AC26" s="376">
        <f>ABS(INDEX(AC:AC,MATCH(AC22,$S:$S,0)+8)+INDEX(AC:AC,MATCH(AC22,$S:$S,0)+9)+INDEX(AC:AC,MATCH(AC22,$S:$S,0)+10))</f>
        <v>202</v>
      </c>
      <c r="AD26" s="377"/>
      <c r="AE26" s="376">
        <f>ABS(INDEX(AE:AE,MATCH(AE22,$S:$S,0)+8)+INDEX(AE:AE,MATCH(AE22,$S:$S,0)+9)+INDEX(AE:AE,MATCH(AE22,$S:$S,0)+10))</f>
        <v>136</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234</v>
      </c>
      <c r="E27" s="346" t="str">
        <f>IF(V27=0,"",V27)</f>
        <v/>
      </c>
      <c r="F27" s="346">
        <f>IF(W27=301,"",W27)</f>
        <v>215</v>
      </c>
      <c r="G27" s="346" t="str">
        <f>IF(X27=0,"",X27)</f>
        <v/>
      </c>
      <c r="H27" s="346">
        <f>IF(Y27=301,"",Y27)</f>
        <v>175</v>
      </c>
      <c r="I27" s="346" t="str">
        <f>IF(Z27=0,"",Z27)</f>
        <v/>
      </c>
      <c r="J27" s="346">
        <f>IF(AA27=301,"",AA27)</f>
        <v>181</v>
      </c>
      <c r="K27" s="346" t="str">
        <f>IF(AB27=0,"",AB27)</f>
        <v/>
      </c>
      <c r="L27" s="346">
        <f>IF(AC27=301,"",AC27)</f>
        <v>180</v>
      </c>
      <c r="M27" s="346" t="str">
        <f>IF(AD27=0,"",AD27)</f>
        <v/>
      </c>
      <c r="N27" s="354"/>
      <c r="O27" s="354"/>
      <c r="S27" s="35" t="s">
        <v>3</v>
      </c>
      <c r="T27" s="36"/>
      <c r="U27" s="376">
        <f>ABS(INDEX(U:U,MATCH(U22,$S:$S,0)+11)+INDEX(U:U,MATCH(U22,$S:$S,0)+12)+INDEX(U:U,MATCH(U22,$S:$S,0)+13))</f>
        <v>234</v>
      </c>
      <c r="V27" s="377"/>
      <c r="W27" s="376">
        <f>ABS(INDEX(W:W,MATCH(W22,$S:$S,0)+11)+INDEX(W:W,MATCH(W22,$S:$S,0)+12)+INDEX(W:W,MATCH(W22,$S:$S,0)+13))</f>
        <v>215</v>
      </c>
      <c r="X27" s="377"/>
      <c r="Y27" s="376">
        <f>ABS(INDEX(Y:Y,MATCH(Y22,$S:$S,0)+11)+INDEX(Y:Y,MATCH(Y22,$S:$S,0)+12)+INDEX(Y:Y,MATCH(Y22,$S:$S,0)+13))</f>
        <v>175</v>
      </c>
      <c r="Z27" s="377"/>
      <c r="AA27" s="376">
        <f>ABS(INDEX(AA:AA,MATCH(AA22,$S:$S,0)+11)+INDEX(AA:AA,MATCH(AA22,$S:$S,0)+12)+INDEX(AA:AA,MATCH(AA22,$S:$S,0)+13))</f>
        <v>181</v>
      </c>
      <c r="AB27" s="377"/>
      <c r="AC27" s="376">
        <f>ABS(INDEX(AC:AC,MATCH(AC22,$S:$S,0)+11)+INDEX(AC:AC,MATCH(AC22,$S:$S,0)+12)+INDEX(AC:AC,MATCH(AC22,$S:$S,0)+13))</f>
        <v>180</v>
      </c>
      <c r="AD27" s="377"/>
      <c r="AE27" s="376">
        <f>ABS(INDEX(AE:AE,MATCH(AE22,$S:$S,0)+11)+INDEX(AE:AE,MATCH(AE22,$S:$S,0)+12)+INDEX(AE:AE,MATCH(AE22,$S:$S,0)+13))</f>
        <v>136</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170</v>
      </c>
      <c r="E28" s="346" t="str">
        <f>IF(V28=0,"",V28)</f>
        <v/>
      </c>
      <c r="F28" s="346">
        <f>IF(W28=301,"",W28)</f>
        <v>168</v>
      </c>
      <c r="G28" s="346" t="str">
        <f>IF(X28=0,"",X28)</f>
        <v/>
      </c>
      <c r="H28" s="346">
        <f>IF(Y28=301,"",Y28)</f>
        <v>190</v>
      </c>
      <c r="I28" s="346" t="str">
        <f>IF(Z28=0,"",Z28)</f>
        <v/>
      </c>
      <c r="J28" s="346">
        <f>IF(AA28=301,"",AA28)</f>
        <v>134</v>
      </c>
      <c r="K28" s="346" t="str">
        <f>IF(AB28=0,"",AB28)</f>
        <v/>
      </c>
      <c r="L28" s="346">
        <f>IF(AC28=301,"",AC28)</f>
        <v>132</v>
      </c>
      <c r="M28" s="346" t="str">
        <f>IF(AD28=0,"",AD28)</f>
        <v/>
      </c>
      <c r="N28" s="354"/>
      <c r="O28" s="354"/>
      <c r="S28" s="35" t="s">
        <v>11</v>
      </c>
      <c r="T28" s="36"/>
      <c r="U28" s="376">
        <f>ABS(INDEX(U:U,MATCH(U22,$S:$S,0)+14)+INDEX(U:U,MATCH(U22,$S:$S,0)+15)+INDEX(U:U,MATCH(U22,$S:$S,0)+16))</f>
        <v>170</v>
      </c>
      <c r="V28" s="377"/>
      <c r="W28" s="376">
        <f>ABS(INDEX(W:W,MATCH(W22,$S:$S,0)+14)+INDEX(W:W,MATCH(W22,$S:$S,0)+15)+INDEX(W:W,MATCH(W22,$S:$S,0)+16))</f>
        <v>168</v>
      </c>
      <c r="X28" s="377"/>
      <c r="Y28" s="376">
        <f>ABS(INDEX(Y:Y,MATCH(Y22,$S:$S,0)+14)+INDEX(Y:Y,MATCH(Y22,$S:$S,0)+15)+INDEX(Y:Y,MATCH(Y22,$S:$S,0)+16))</f>
        <v>190</v>
      </c>
      <c r="Z28" s="377"/>
      <c r="AA28" s="376">
        <f>ABS(INDEX(AA:AA,MATCH(AA22,$S:$S,0)+14)+INDEX(AA:AA,MATCH(AA22,$S:$S,0)+15)+INDEX(AA:AA,MATCH(AA22,$S:$S,0)+16))</f>
        <v>134</v>
      </c>
      <c r="AB28" s="377"/>
      <c r="AC28" s="376">
        <f>ABS(INDEX(AC:AC,MATCH(AC22,$S:$S,0)+14)+INDEX(AC:AC,MATCH(AC22,$S:$S,0)+15)+INDEX(AC:AC,MATCH(AC22,$S:$S,0)+16))</f>
        <v>132</v>
      </c>
      <c r="AD28" s="377"/>
      <c r="AE28" s="376">
        <f>ABS(INDEX(AE:AE,MATCH(AE22,$S:$S,0)+14)+INDEX(AE:AE,MATCH(AE22,$S:$S,0)+15)+INDEX(AE:AE,MATCH(AE22,$S:$S,0)+16))</f>
        <v>187</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701</v>
      </c>
      <c r="E29" s="347" t="str">
        <f>IF(V29=0,"",V29)</f>
        <v/>
      </c>
      <c r="F29" s="347">
        <f>IF(W29=1505,"",W29)</f>
        <v>668</v>
      </c>
      <c r="G29" s="347" t="str">
        <f>IF(X29=0,"",X29)</f>
        <v/>
      </c>
      <c r="H29" s="347">
        <f>IF(Y29=1505,"",Y29)</f>
        <v>657</v>
      </c>
      <c r="I29" s="347" t="str">
        <f>IF(Z29=0,"",Z29)</f>
        <v/>
      </c>
      <c r="J29" s="347">
        <f>IF(AA29=1505,"",AA29)</f>
        <v>622</v>
      </c>
      <c r="K29" s="347" t="str">
        <f>IF(AB29=0,"",AB29)</f>
        <v/>
      </c>
      <c r="L29" s="347">
        <f>IF(AC29=1505,"",AC29)</f>
        <v>676</v>
      </c>
      <c r="M29" s="347" t="str">
        <f>IF(AD29=0,"",AD29)</f>
        <v/>
      </c>
      <c r="N29" s="300"/>
      <c r="O29" s="300"/>
      <c r="S29" s="37" t="s">
        <v>1788</v>
      </c>
      <c r="T29" s="38"/>
      <c r="U29" s="348">
        <f>SUM(U25:U28)</f>
        <v>701</v>
      </c>
      <c r="V29" s="349"/>
      <c r="W29" s="348">
        <f>SUM(W25:W28)</f>
        <v>668</v>
      </c>
      <c r="X29" s="349"/>
      <c r="Y29" s="348">
        <f>SUM(Y25:Y28)</f>
        <v>657</v>
      </c>
      <c r="Z29" s="349"/>
      <c r="AA29" s="348">
        <f>SUM(AA25:AA28)</f>
        <v>622</v>
      </c>
      <c r="AB29" s="349"/>
      <c r="AC29" s="348">
        <f>SUM(AC25:AC28)</f>
        <v>676</v>
      </c>
      <c r="AD29" s="349"/>
      <c r="AE29" s="348">
        <f>SUM(AE25:AE28)</f>
        <v>575</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16.02.</v>
      </c>
      <c r="N31" s="366"/>
      <c r="O31" s="366"/>
      <c r="P31" s="368"/>
      <c r="Q31" s="368"/>
      <c r="R31" s="368"/>
      <c r="S31" s="7" t="s">
        <v>1798</v>
      </c>
      <c r="T31" s="25"/>
      <c r="U31" s="30" t="s">
        <v>1782</v>
      </c>
      <c r="V31" s="76" t="str">
        <f>Schlüssel!$C$1</f>
        <v>Landesliga Nord Frauen</v>
      </c>
      <c r="X31" s="25"/>
      <c r="Y31" s="25"/>
      <c r="Z31" s="25"/>
      <c r="AA31" s="25"/>
      <c r="AC31" s="29"/>
      <c r="AD31" s="353" t="str">
        <f>Schlüssel!$BA$1</f>
        <v>16.02.</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7">IF(W37=0,"",W37)</f>
        <v/>
      </c>
      <c r="G37" s="350" t="e">
        <f>IF(X37="","",X37)</f>
        <v>#N/A</v>
      </c>
      <c r="H37" s="14" t="str">
        <f t="shared" ref="H37:H50" si="28">IF(Y37=0,"",Y37)</f>
        <v/>
      </c>
      <c r="I37" s="350" t="e">
        <f>IF(Z37="","",Z37)</f>
        <v>#N/A</v>
      </c>
      <c r="J37" s="14" t="str">
        <f t="shared" ref="J37:J50" si="29">IF(AA37=0,"",AA37)</f>
        <v/>
      </c>
      <c r="K37" s="350" t="e">
        <f>IF(AB37="","",AB37)</f>
        <v>#N/A</v>
      </c>
      <c r="L37" s="14" t="str">
        <f t="shared" ref="L37:L50" si="30">IF(AC37=0,"",AC37)</f>
        <v/>
      </c>
      <c r="M37" s="350" t="e">
        <f>IF(AD37="","",AD37)</f>
        <v>#N/A</v>
      </c>
      <c r="N37" s="14" t="str">
        <f t="shared" ref="N37:N50" si="31">IF(AG37=0,"",AG37)</f>
        <v/>
      </c>
      <c r="O37" s="350" t="e">
        <f>IF(AH37="","",AH37)</f>
        <v>#N/A</v>
      </c>
      <c r="R37" s="357"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1" t="s">
        <v>2</v>
      </c>
      <c r="B40" s="17" t="str">
        <f t="shared" si="48"/>
        <v/>
      </c>
      <c r="C40" s="18" t="str">
        <f t="shared" si="48"/>
        <v/>
      </c>
      <c r="D40" s="14" t="str">
        <f t="shared" si="48"/>
        <v/>
      </c>
      <c r="E40" s="350" t="e">
        <f>IF(V40="","",V40)</f>
        <v>#N/A</v>
      </c>
      <c r="F40" s="14" t="str">
        <f t="shared" si="27"/>
        <v/>
      </c>
      <c r="G40" s="350" t="e">
        <f>IF(X40="","",X40)</f>
        <v>#N/A</v>
      </c>
      <c r="H40" s="14" t="str">
        <f t="shared" si="28"/>
        <v/>
      </c>
      <c r="I40" s="350" t="e">
        <f>IF(Z40="","",Z40)</f>
        <v>#N/A</v>
      </c>
      <c r="J40" s="14" t="str">
        <f t="shared" si="29"/>
        <v/>
      </c>
      <c r="K40" s="350" t="e">
        <f>IF(AB40="","",AB40)</f>
        <v>#N/A</v>
      </c>
      <c r="L40" s="14" t="str">
        <f t="shared" si="30"/>
        <v/>
      </c>
      <c r="M40" s="350" t="e">
        <f>IF(AD40="","",AD40)</f>
        <v>#N/A</v>
      </c>
      <c r="N40" s="14" t="str">
        <f t="shared" si="31"/>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1" t="s">
        <v>3</v>
      </c>
      <c r="B43" s="17" t="str">
        <f t="shared" si="48"/>
        <v/>
      </c>
      <c r="C43" s="18" t="str">
        <f t="shared" si="48"/>
        <v/>
      </c>
      <c r="D43" s="14" t="str">
        <f t="shared" si="48"/>
        <v/>
      </c>
      <c r="E43" s="350" t="e">
        <f>IF(V43="","",V43)</f>
        <v>#N/A</v>
      </c>
      <c r="F43" s="14" t="str">
        <f t="shared" si="27"/>
        <v/>
      </c>
      <c r="G43" s="350" t="e">
        <f>IF(X43="","",X43)</f>
        <v>#N/A</v>
      </c>
      <c r="H43" s="14" t="str">
        <f t="shared" si="28"/>
        <v/>
      </c>
      <c r="I43" s="350" t="e">
        <f>IF(Z43="","",Z43)</f>
        <v>#N/A</v>
      </c>
      <c r="J43" s="14" t="str">
        <f t="shared" si="29"/>
        <v/>
      </c>
      <c r="K43" s="350" t="e">
        <f>IF(AB43="","",AB43)</f>
        <v>#N/A</v>
      </c>
      <c r="L43" s="14" t="str">
        <f t="shared" si="30"/>
        <v/>
      </c>
      <c r="M43" s="350" t="e">
        <f>IF(AD43="","",AD43)</f>
        <v>#N/A</v>
      </c>
      <c r="N43" s="14" t="str">
        <f t="shared" si="31"/>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1" t="s">
        <v>11</v>
      </c>
      <c r="B46" s="17" t="str">
        <f>IF(S46=0,"",S46)</f>
        <v/>
      </c>
      <c r="C46" s="18" t="str">
        <f t="shared" si="48"/>
        <v/>
      </c>
      <c r="D46" s="14" t="str">
        <f t="shared" si="48"/>
        <v/>
      </c>
      <c r="E46" s="350" t="e">
        <f>IF(V46="","",V46)</f>
        <v>#N/A</v>
      </c>
      <c r="F46" s="14" t="str">
        <f t="shared" si="27"/>
        <v/>
      </c>
      <c r="G46" s="350" t="e">
        <f>IF(X46="","",X46)</f>
        <v>#N/A</v>
      </c>
      <c r="H46" s="14" t="str">
        <f t="shared" si="28"/>
        <v/>
      </c>
      <c r="I46" s="350" t="e">
        <f>IF(Z46="","",Z46)</f>
        <v>#N/A</v>
      </c>
      <c r="J46" s="14" t="str">
        <f t="shared" si="29"/>
        <v/>
      </c>
      <c r="K46" s="350" t="e">
        <f>IF(AB46="","",AB46)</f>
        <v>#N/A</v>
      </c>
      <c r="L46" s="14" t="str">
        <f t="shared" si="30"/>
        <v/>
      </c>
      <c r="M46" s="350" t="e">
        <f>IF(AD46="","",AD46)</f>
        <v>#N/A</v>
      </c>
      <c r="N46" s="14" t="str">
        <f t="shared" si="31"/>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3" t="str">
        <f t="shared" si="51"/>
        <v/>
      </c>
      <c r="E52" s="363" t="str">
        <f t="shared" si="51"/>
        <v/>
      </c>
      <c r="F52" s="363" t="str">
        <f t="shared" si="51"/>
        <v/>
      </c>
      <c r="G52" s="363" t="str">
        <f t="shared" si="51"/>
        <v/>
      </c>
      <c r="H52" s="363" t="str">
        <f t="shared" si="51"/>
        <v/>
      </c>
      <c r="I52" s="363" t="str">
        <f t="shared" si="51"/>
        <v/>
      </c>
      <c r="J52" s="363" t="str">
        <f t="shared" si="51"/>
        <v/>
      </c>
      <c r="K52" s="363" t="str">
        <f t="shared" si="51"/>
        <v/>
      </c>
      <c r="L52" s="363" t="str">
        <f t="shared" ref="L52:M54" si="52">IF(AC52=0,"",AC52)</f>
        <v/>
      </c>
      <c r="M52" s="363" t="str">
        <f t="shared" si="52"/>
        <v/>
      </c>
      <c r="N52" s="364"/>
      <c r="O52" s="364"/>
      <c r="S52" s="13" t="s">
        <v>1786</v>
      </c>
      <c r="T52" s="5" t="s">
        <v>1787</v>
      </c>
      <c r="U52" s="369">
        <f>VLOOKUP($S32,Schlüssel!$A$5:$CX$10,43)</f>
        <v>0</v>
      </c>
      <c r="V52" s="370"/>
      <c r="W52" s="369">
        <f>VLOOKUP($S32,Schlüssel!$A$5:$DQ$10,44)</f>
        <v>0</v>
      </c>
      <c r="X52" s="370"/>
      <c r="Y52" s="369">
        <f>VLOOKUP($S32,Schlüssel!$A$5:$DQ$10,45)</f>
        <v>0</v>
      </c>
      <c r="Z52" s="370"/>
      <c r="AA52" s="369">
        <f>VLOOKUP($S32,Schlüssel!$A$5:$DQ$10,46)</f>
        <v>0</v>
      </c>
      <c r="AB52" s="370"/>
      <c r="AC52" s="369">
        <f>VLOOKUP($S32,Schlüssel!$A$5:$DQ$10,47)</f>
        <v>0</v>
      </c>
      <c r="AD52" s="370"/>
      <c r="AE52" s="369">
        <f>VLOOKUP($S32,Schlüssel!$A$5:$DQ$10,48)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0" t="e">
        <f t="shared" si="51"/>
        <v>#N/A</v>
      </c>
      <c r="E53" s="361" t="str">
        <f t="shared" si="51"/>
        <v/>
      </c>
      <c r="F53" s="360" t="e">
        <f t="shared" si="51"/>
        <v>#N/A</v>
      </c>
      <c r="G53" s="361" t="str">
        <f t="shared" si="51"/>
        <v/>
      </c>
      <c r="H53" s="360" t="e">
        <f t="shared" si="51"/>
        <v>#N/A</v>
      </c>
      <c r="I53" s="361" t="str">
        <f t="shared" si="51"/>
        <v/>
      </c>
      <c r="J53" s="360" t="e">
        <f t="shared" si="51"/>
        <v>#N/A</v>
      </c>
      <c r="K53" s="361" t="str">
        <f t="shared" si="51"/>
        <v/>
      </c>
      <c r="L53" s="360" t="e">
        <f t="shared" si="52"/>
        <v>#N/A</v>
      </c>
      <c r="M53" s="361" t="str">
        <f t="shared" si="52"/>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5" t="str">
        <f t="shared" si="51"/>
        <v/>
      </c>
      <c r="E54" s="365" t="str">
        <f t="shared" si="51"/>
        <v/>
      </c>
      <c r="F54" s="365" t="str">
        <f t="shared" si="51"/>
        <v/>
      </c>
      <c r="G54" s="365" t="str">
        <f t="shared" si="51"/>
        <v/>
      </c>
      <c r="H54" s="365" t="str">
        <f t="shared" si="51"/>
        <v/>
      </c>
      <c r="I54" s="365" t="str">
        <f t="shared" si="51"/>
        <v/>
      </c>
      <c r="J54" s="365" t="str">
        <f t="shared" si="51"/>
        <v/>
      </c>
      <c r="K54" s="365" t="str">
        <f t="shared" si="51"/>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16.02.</v>
      </c>
      <c r="N61" s="366"/>
      <c r="O61" s="366"/>
      <c r="P61" s="368"/>
      <c r="Q61" s="368"/>
      <c r="R61" s="368"/>
      <c r="S61" s="7" t="s">
        <v>1798</v>
      </c>
      <c r="T61" s="25"/>
      <c r="U61" s="30" t="s">
        <v>1782</v>
      </c>
      <c r="V61" s="76" t="str">
        <f>Schlüssel!$C$1</f>
        <v>Landesliga Nord Frauen</v>
      </c>
      <c r="X61" s="25"/>
      <c r="Y61" s="25"/>
      <c r="Z61" s="25"/>
      <c r="AA61" s="25"/>
      <c r="AC61" s="29"/>
      <c r="AD61" s="353" t="str">
        <f>Schlüssel!$BA$1</f>
        <v>16.02.</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Söldner, Elke</v>
      </c>
      <c r="C67" s="18">
        <f>IF(T67=0,"",T67)</f>
        <v>7156</v>
      </c>
      <c r="D67" s="14">
        <f>IF(U67=0,"",U67)</f>
        <v>125</v>
      </c>
      <c r="E67" s="350">
        <f>IF(V67="","",V67)</f>
        <v>0</v>
      </c>
      <c r="F67" s="14">
        <f t="shared" ref="F67:F80" si="54">IF(W67=0,"",W67)</f>
        <v>146</v>
      </c>
      <c r="G67" s="350">
        <f>IF(X67="","",X67)</f>
        <v>1</v>
      </c>
      <c r="H67" s="14">
        <f t="shared" ref="H67:H80" si="55">IF(Y67=0,"",Y67)</f>
        <v>124</v>
      </c>
      <c r="I67" s="350">
        <f>IF(Z67="","",Z67)</f>
        <v>0</v>
      </c>
      <c r="J67" s="14">
        <f t="shared" ref="J67:J80" si="56">IF(AA67=0,"",AA67)</f>
        <v>156</v>
      </c>
      <c r="K67" s="350">
        <f>IF(AB67="","",AB67)</f>
        <v>0</v>
      </c>
      <c r="L67" s="14">
        <f t="shared" ref="L67:L80" si="57">IF(AC67=0,"",AC67)</f>
        <v>162</v>
      </c>
      <c r="M67" s="350">
        <f>IF(AD67="","",AD67)</f>
        <v>0</v>
      </c>
      <c r="N67" s="14">
        <f t="shared" ref="N67:N80" si="58">IF(AG67=0,"",AG67)</f>
        <v>829</v>
      </c>
      <c r="O67" s="350">
        <f>IF(AH67="","",AH67)</f>
        <v>1</v>
      </c>
      <c r="R67" s="357"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1" t="s">
        <v>2</v>
      </c>
      <c r="B70" s="17" t="str">
        <f t="shared" si="75"/>
        <v>Theisen, Ulrike</v>
      </c>
      <c r="C70" s="18">
        <f t="shared" si="75"/>
        <v>25478</v>
      </c>
      <c r="D70" s="14">
        <f t="shared" si="75"/>
        <v>172</v>
      </c>
      <c r="E70" s="350">
        <f>IF(V70="","",V70)</f>
        <v>1</v>
      </c>
      <c r="F70" s="14">
        <f t="shared" si="54"/>
        <v>139</v>
      </c>
      <c r="G70" s="350">
        <f>IF(X70="","",X70)</f>
        <v>1</v>
      </c>
      <c r="H70" s="14">
        <f t="shared" si="55"/>
        <v>168</v>
      </c>
      <c r="I70" s="350">
        <f>IF(Z70="","",Z70)</f>
        <v>1</v>
      </c>
      <c r="J70" s="14">
        <f t="shared" si="56"/>
        <v>151</v>
      </c>
      <c r="K70" s="350">
        <f>IF(AB70="","",AB70)</f>
        <v>0.5</v>
      </c>
      <c r="L70" s="14">
        <f t="shared" si="57"/>
        <v>202</v>
      </c>
      <c r="M70" s="350">
        <f>IF(AD70="","",AD70)</f>
        <v>1</v>
      </c>
      <c r="N70" s="14">
        <f t="shared" si="58"/>
        <v>968</v>
      </c>
      <c r="O70" s="350">
        <f>IF(AH70="","",AH70)</f>
        <v>4.5</v>
      </c>
      <c r="R70" s="357"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1" t="s">
        <v>3</v>
      </c>
      <c r="B73" s="17" t="str">
        <f t="shared" si="75"/>
        <v>Weiske, Marina</v>
      </c>
      <c r="C73" s="18">
        <f t="shared" si="75"/>
        <v>7154</v>
      </c>
      <c r="D73" s="14">
        <f t="shared" si="75"/>
        <v>234</v>
      </c>
      <c r="E73" s="350">
        <f>IF(V73="","",V73)</f>
        <v>1</v>
      </c>
      <c r="F73" s="14">
        <f t="shared" si="54"/>
        <v>215</v>
      </c>
      <c r="G73" s="350">
        <f>IF(X73="","",X73)</f>
        <v>1</v>
      </c>
      <c r="H73" s="14">
        <f t="shared" si="55"/>
        <v>175</v>
      </c>
      <c r="I73" s="350">
        <f>IF(Z73="","",Z73)</f>
        <v>1</v>
      </c>
      <c r="J73" s="14">
        <f t="shared" si="56"/>
        <v>181</v>
      </c>
      <c r="K73" s="350">
        <f>IF(AB73="","",AB73)</f>
        <v>1</v>
      </c>
      <c r="L73" s="14">
        <f t="shared" si="57"/>
        <v>180</v>
      </c>
      <c r="M73" s="350">
        <f>IF(AD73="","",AD73)</f>
        <v>1</v>
      </c>
      <c r="N73" s="14">
        <f t="shared" si="58"/>
        <v>1121</v>
      </c>
      <c r="O73" s="350">
        <f>IF(AH73="","",AH73)</f>
        <v>5</v>
      </c>
      <c r="R73" s="357"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1" t="s">
        <v>11</v>
      </c>
      <c r="B76" s="17" t="str">
        <f>IF(S76=0,"",S76)</f>
        <v>Bräutigam, Marion</v>
      </c>
      <c r="C76" s="18">
        <f t="shared" si="75"/>
        <v>7860</v>
      </c>
      <c r="D76" s="14">
        <f t="shared" si="75"/>
        <v>170</v>
      </c>
      <c r="E76" s="350">
        <f>IF(V76="","",V76)</f>
        <v>1</v>
      </c>
      <c r="F76" s="14">
        <f t="shared" si="54"/>
        <v>168</v>
      </c>
      <c r="G76" s="350">
        <f>IF(X76="","",X76)</f>
        <v>0</v>
      </c>
      <c r="H76" s="14">
        <f t="shared" si="55"/>
        <v>190</v>
      </c>
      <c r="I76" s="350">
        <f>IF(Z76="","",Z76)</f>
        <v>1</v>
      </c>
      <c r="J76" s="14">
        <f t="shared" si="56"/>
        <v>134</v>
      </c>
      <c r="K76" s="350">
        <f>IF(AB76="","",AB76)</f>
        <v>0</v>
      </c>
      <c r="L76" s="14">
        <f t="shared" si="57"/>
        <v>132</v>
      </c>
      <c r="M76" s="350">
        <f>IF(AD76="","",AD76)</f>
        <v>0</v>
      </c>
      <c r="N76" s="14">
        <f t="shared" si="58"/>
        <v>981</v>
      </c>
      <c r="O76" s="350">
        <f>IF(AH76="","",AH76)</f>
        <v>3</v>
      </c>
      <c r="R76" s="357"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3">
        <f t="shared" si="78"/>
        <v>1</v>
      </c>
      <c r="E82" s="363" t="str">
        <f t="shared" si="78"/>
        <v/>
      </c>
      <c r="F82" s="363">
        <f t="shared" si="78"/>
        <v>1</v>
      </c>
      <c r="G82" s="363" t="str">
        <f t="shared" si="78"/>
        <v/>
      </c>
      <c r="H82" s="363">
        <f t="shared" si="78"/>
        <v>1</v>
      </c>
      <c r="I82" s="363" t="str">
        <f t="shared" si="78"/>
        <v/>
      </c>
      <c r="J82" s="363">
        <f t="shared" si="78"/>
        <v>1</v>
      </c>
      <c r="K82" s="363" t="str">
        <f t="shared" si="78"/>
        <v/>
      </c>
      <c r="L82" s="363">
        <f t="shared" ref="L82:M84" si="79">IF(AC82=0,"",AC82)</f>
        <v>1</v>
      </c>
      <c r="M82" s="363" t="str">
        <f t="shared" si="79"/>
        <v/>
      </c>
      <c r="N82" s="364"/>
      <c r="O82" s="364"/>
      <c r="S82" s="13" t="s">
        <v>1786</v>
      </c>
      <c r="T82" s="5" t="s">
        <v>1787</v>
      </c>
      <c r="U82" s="369">
        <f>VLOOKUP($S62,Schlüssel!$A$5:$CX$10,43)</f>
        <v>1</v>
      </c>
      <c r="V82" s="370"/>
      <c r="W82" s="369">
        <f>VLOOKUP($S62,Schlüssel!$A$5:$DQ$10,44)</f>
        <v>1</v>
      </c>
      <c r="X82" s="370"/>
      <c r="Y82" s="369">
        <f>VLOOKUP($S62,Schlüssel!$A$5:$DQ$10,45)</f>
        <v>1</v>
      </c>
      <c r="Z82" s="370"/>
      <c r="AA82" s="369">
        <f>VLOOKUP($S62,Schlüssel!$A$5:$DQ$10,46)</f>
        <v>1</v>
      </c>
      <c r="AB82" s="370"/>
      <c r="AC82" s="369">
        <f>VLOOKUP($S62,Schlüssel!$A$5:$DQ$10,47)</f>
        <v>1</v>
      </c>
      <c r="AD82" s="370"/>
      <c r="AE82" s="369">
        <f>VLOOKUP($S62,Schlüssel!$A$5:$DQ$10,48)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0" t="str">
        <f t="shared" si="78"/>
        <v>Kleeblatt Fürth</v>
      </c>
      <c r="E83" s="361" t="str">
        <f t="shared" si="78"/>
        <v/>
      </c>
      <c r="F83" s="360" t="str">
        <f t="shared" si="78"/>
        <v>Kleeblatt Fürth</v>
      </c>
      <c r="G83" s="361" t="str">
        <f t="shared" si="78"/>
        <v/>
      </c>
      <c r="H83" s="360" t="str">
        <f t="shared" si="78"/>
        <v>Kleeblatt Fürth</v>
      </c>
      <c r="I83" s="361" t="str">
        <f t="shared" si="78"/>
        <v/>
      </c>
      <c r="J83" s="360" t="str">
        <f t="shared" si="78"/>
        <v>Kleeblatt Fürth</v>
      </c>
      <c r="K83" s="361" t="str">
        <f t="shared" si="78"/>
        <v/>
      </c>
      <c r="L83" s="360" t="str">
        <f t="shared" si="79"/>
        <v>Kleeblatt Fürth</v>
      </c>
      <c r="M83" s="361" t="str">
        <f t="shared" si="79"/>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5" t="str">
        <f t="shared" si="78"/>
        <v/>
      </c>
      <c r="E84" s="365" t="str">
        <f t="shared" si="78"/>
        <v/>
      </c>
      <c r="F84" s="365" t="str">
        <f t="shared" si="78"/>
        <v/>
      </c>
      <c r="G84" s="365" t="str">
        <f t="shared" si="78"/>
        <v/>
      </c>
      <c r="H84" s="365" t="str">
        <f t="shared" si="78"/>
        <v/>
      </c>
      <c r="I84" s="365" t="str">
        <f t="shared" si="78"/>
        <v/>
      </c>
      <c r="J84" s="365" t="str">
        <f t="shared" si="78"/>
        <v/>
      </c>
      <c r="K84" s="365" t="str">
        <f t="shared" si="78"/>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159</v>
      </c>
      <c r="E85" s="346" t="str">
        <f>IF(V85=0,"",V85)</f>
        <v/>
      </c>
      <c r="F85" s="346">
        <f>IF(W85=301,"",W85)</f>
        <v>120</v>
      </c>
      <c r="G85" s="346" t="str">
        <f>IF(X85=0,"",X85)</f>
        <v/>
      </c>
      <c r="H85" s="346">
        <f>IF(Y85=301,"",Y85)</f>
        <v>178</v>
      </c>
      <c r="I85" s="346" t="str">
        <f>IF(Z85=0,"",Z85)</f>
        <v/>
      </c>
      <c r="J85" s="346">
        <f>IF(AA85=301,"",AA85)</f>
        <v>157</v>
      </c>
      <c r="K85" s="346" t="str">
        <f>IF(AB85=0,"",AB85)</f>
        <v/>
      </c>
      <c r="L85" s="346">
        <f>IF(AC85=301,"",AC85)</f>
        <v>179</v>
      </c>
      <c r="M85" s="346" t="str">
        <f>IF(AD85=0,"",AD85)</f>
        <v/>
      </c>
      <c r="N85" s="354"/>
      <c r="O85" s="354"/>
      <c r="S85" s="35" t="s">
        <v>0</v>
      </c>
      <c r="T85" s="36"/>
      <c r="U85" s="374">
        <f>ABS(INDEX(U:U,MATCH(U82,$S:$S,0)+5)+INDEX(U:U,MATCH(U82,$S:$S,0)+6)+INDEX(U:U,MATCH(U82,$S:$S,0)+7))</f>
        <v>159</v>
      </c>
      <c r="V85" s="375"/>
      <c r="W85" s="374">
        <f>ABS(INDEX(W:W,MATCH(W82,$S:$S,0)+5)+INDEX(W:W,MATCH(W82,$S:$S,0)+6)+INDEX(W:W,MATCH(W82,$S:$S,0)+7))</f>
        <v>120</v>
      </c>
      <c r="X85" s="375"/>
      <c r="Y85" s="374">
        <f>ABS(INDEX(Y:Y,MATCH(Y82,$S:$S,0)+5)+INDEX(Y:Y,MATCH(Y82,$S:$S,0)+6)+INDEX(Y:Y,MATCH(Y82,$S:$S,0)+7))</f>
        <v>178</v>
      </c>
      <c r="Z85" s="375"/>
      <c r="AA85" s="374">
        <f>ABS(INDEX(AA:AA,MATCH(AA82,$S:$S,0)+5)+INDEX(AA:AA,MATCH(AA82,$S:$S,0)+6)+INDEX(AA:AA,MATCH(AA82,$S:$S,0)+7))</f>
        <v>157</v>
      </c>
      <c r="AB85" s="375"/>
      <c r="AC85" s="374">
        <f>ABS(INDEX(AC:AC,MATCH(AC82,$S:$S,0)+5)+INDEX(AC:AC,MATCH(AC82,$S:$S,0)+6)+INDEX(AC:AC,MATCH(AC82,$S:$S,0)+7))</f>
        <v>179</v>
      </c>
      <c r="AD85" s="375"/>
      <c r="AE85" s="374">
        <f>ABS(INDEX(AE:AE,MATCH(AE82,$S:$S,0)+5)+INDEX(AE:AE,MATCH(AE82,$S:$S,0)+6)+INDEX(AE:AE,MATCH(AE82,$S:$S,0)+7))</f>
        <v>136</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160</v>
      </c>
      <c r="E86" s="346" t="str">
        <f>IF(V86=0,"",V86)</f>
        <v/>
      </c>
      <c r="F86" s="346">
        <f>IF(W86=301,"",W86)</f>
        <v>128</v>
      </c>
      <c r="G86" s="346" t="str">
        <f>IF(X86=0,"",X86)</f>
        <v/>
      </c>
      <c r="H86" s="346">
        <f>IF(Y86=301,"",Y86)</f>
        <v>135</v>
      </c>
      <c r="I86" s="346" t="str">
        <f>IF(Z86=0,"",Z86)</f>
        <v/>
      </c>
      <c r="J86" s="346">
        <f>IF(AA86=301,"",AA86)</f>
        <v>151</v>
      </c>
      <c r="K86" s="346" t="str">
        <f>IF(AB86=0,"",AB86)</f>
        <v/>
      </c>
      <c r="L86" s="346">
        <f>IF(AC86=301,"",AC86)</f>
        <v>156</v>
      </c>
      <c r="M86" s="346" t="str">
        <f>IF(AD86=0,"",AD86)</f>
        <v/>
      </c>
      <c r="N86" s="354"/>
      <c r="O86" s="354"/>
      <c r="S86" s="35" t="s">
        <v>2</v>
      </c>
      <c r="T86" s="36"/>
      <c r="U86" s="376">
        <f>ABS(INDEX(U:U,MATCH(U82,$S:$S,0)+8)+INDEX(U:U,MATCH(U82,$S:$S,0)+9)+INDEX(U:U,MATCH(U82,$S:$S,0)+10))</f>
        <v>160</v>
      </c>
      <c r="V86" s="377"/>
      <c r="W86" s="376">
        <f>ABS(INDEX(W:W,MATCH(W82,$S:$S,0)+8)+INDEX(W:W,MATCH(W82,$S:$S,0)+9)+INDEX(W:W,MATCH(W82,$S:$S,0)+10))</f>
        <v>128</v>
      </c>
      <c r="X86" s="377"/>
      <c r="Y86" s="376">
        <f>ABS(INDEX(Y:Y,MATCH(Y82,$S:$S,0)+8)+INDEX(Y:Y,MATCH(Y82,$S:$S,0)+9)+INDEX(Y:Y,MATCH(Y82,$S:$S,0)+10))</f>
        <v>135</v>
      </c>
      <c r="Z86" s="377"/>
      <c r="AA86" s="376">
        <f>ABS(INDEX(AA:AA,MATCH(AA82,$S:$S,0)+8)+INDEX(AA:AA,MATCH(AA82,$S:$S,0)+9)+INDEX(AA:AA,MATCH(AA82,$S:$S,0)+10))</f>
        <v>151</v>
      </c>
      <c r="AB86" s="377"/>
      <c r="AC86" s="376">
        <f>ABS(INDEX(AC:AC,MATCH(AC82,$S:$S,0)+8)+INDEX(AC:AC,MATCH(AC82,$S:$S,0)+9)+INDEX(AC:AC,MATCH(AC82,$S:$S,0)+10))</f>
        <v>156</v>
      </c>
      <c r="AD86" s="377"/>
      <c r="AE86" s="376">
        <f>ABS(INDEX(AE:AE,MATCH(AE82,$S:$S,0)+8)+INDEX(AE:AE,MATCH(AE82,$S:$S,0)+9)+INDEX(AE:AE,MATCH(AE82,$S:$S,0)+10))</f>
        <v>176</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164</v>
      </c>
      <c r="E87" s="346" t="str">
        <f>IF(V87=0,"",V87)</f>
        <v/>
      </c>
      <c r="F87" s="346">
        <f>IF(W87=301,"",W87)</f>
        <v>149</v>
      </c>
      <c r="G87" s="346" t="str">
        <f>IF(X87=0,"",X87)</f>
        <v/>
      </c>
      <c r="H87" s="346">
        <f>IF(Y87=301,"",Y87)</f>
        <v>119</v>
      </c>
      <c r="I87" s="346" t="str">
        <f>IF(Z87=0,"",Z87)</f>
        <v/>
      </c>
      <c r="J87" s="346">
        <f>IF(AA87=301,"",AA87)</f>
        <v>147</v>
      </c>
      <c r="K87" s="346" t="str">
        <f>IF(AB87=0,"",AB87)</f>
        <v/>
      </c>
      <c r="L87" s="346">
        <f>IF(AC87=301,"",AC87)</f>
        <v>154</v>
      </c>
      <c r="M87" s="346" t="str">
        <f>IF(AD87=0,"",AD87)</f>
        <v/>
      </c>
      <c r="N87" s="354"/>
      <c r="O87" s="354"/>
      <c r="S87" s="35" t="s">
        <v>3</v>
      </c>
      <c r="T87" s="36"/>
      <c r="U87" s="376">
        <f>ABS(INDEX(U:U,MATCH(U82,$S:$S,0)+11)+INDEX(U:U,MATCH(U82,$S:$S,0)+12)+INDEX(U:U,MATCH(U82,$S:$S,0)+13))</f>
        <v>164</v>
      </c>
      <c r="V87" s="377"/>
      <c r="W87" s="376">
        <f>ABS(INDEX(W:W,MATCH(W82,$S:$S,0)+11)+INDEX(W:W,MATCH(W82,$S:$S,0)+12)+INDEX(W:W,MATCH(W82,$S:$S,0)+13))</f>
        <v>149</v>
      </c>
      <c r="X87" s="377"/>
      <c r="Y87" s="376">
        <f>ABS(INDEX(Y:Y,MATCH(Y82,$S:$S,0)+11)+INDEX(Y:Y,MATCH(Y82,$S:$S,0)+12)+INDEX(Y:Y,MATCH(Y82,$S:$S,0)+13))</f>
        <v>119</v>
      </c>
      <c r="Z87" s="377"/>
      <c r="AA87" s="376">
        <f>ABS(INDEX(AA:AA,MATCH(AA82,$S:$S,0)+11)+INDEX(AA:AA,MATCH(AA82,$S:$S,0)+12)+INDEX(AA:AA,MATCH(AA82,$S:$S,0)+13))</f>
        <v>147</v>
      </c>
      <c r="AB87" s="377"/>
      <c r="AC87" s="376">
        <f>ABS(INDEX(AC:AC,MATCH(AC82,$S:$S,0)+11)+INDEX(AC:AC,MATCH(AC82,$S:$S,0)+12)+INDEX(AC:AC,MATCH(AC82,$S:$S,0)+13))</f>
        <v>154</v>
      </c>
      <c r="AD87" s="377"/>
      <c r="AE87" s="376">
        <f>ABS(INDEX(AE:AE,MATCH(AE82,$S:$S,0)+11)+INDEX(AE:AE,MATCH(AE82,$S:$S,0)+12)+INDEX(AE:AE,MATCH(AE82,$S:$S,0)+13))</f>
        <v>160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168</v>
      </c>
      <c r="E88" s="346" t="str">
        <f>IF(V88=0,"",V88)</f>
        <v/>
      </c>
      <c r="F88" s="346">
        <f>IF(W88=301,"",W88)</f>
        <v>211</v>
      </c>
      <c r="G88" s="346" t="str">
        <f>IF(X88=0,"",X88)</f>
        <v/>
      </c>
      <c r="H88" s="346">
        <f>IF(Y88=301,"",Y88)</f>
        <v>153</v>
      </c>
      <c r="I88" s="346" t="str">
        <f>IF(Z88=0,"",Z88)</f>
        <v/>
      </c>
      <c r="J88" s="346">
        <f>IF(AA88=301,"",AA88)</f>
        <v>151</v>
      </c>
      <c r="K88" s="346" t="str">
        <f>IF(AB88=0,"",AB88)</f>
        <v/>
      </c>
      <c r="L88" s="346">
        <f>IF(AC88=301,"",AC88)</f>
        <v>147</v>
      </c>
      <c r="M88" s="346" t="str">
        <f>IF(AD88=0,"",AD88)</f>
        <v/>
      </c>
      <c r="N88" s="354"/>
      <c r="O88" s="354"/>
      <c r="S88" s="35" t="s">
        <v>11</v>
      </c>
      <c r="T88" s="36"/>
      <c r="U88" s="376">
        <f>ABS(INDEX(U:U,MATCH(U82,$S:$S,0)+14)+INDEX(U:U,MATCH(U82,$S:$S,0)+15)+INDEX(U:U,MATCH(U82,$S:$S,0)+16))</f>
        <v>168</v>
      </c>
      <c r="V88" s="377"/>
      <c r="W88" s="376">
        <f>ABS(INDEX(W:W,MATCH(W82,$S:$S,0)+14)+INDEX(W:W,MATCH(W82,$S:$S,0)+15)+INDEX(W:W,MATCH(W82,$S:$S,0)+16))</f>
        <v>211</v>
      </c>
      <c r="X88" s="377"/>
      <c r="Y88" s="376">
        <f>ABS(INDEX(Y:Y,MATCH(Y82,$S:$S,0)+14)+INDEX(Y:Y,MATCH(Y82,$S:$S,0)+15)+INDEX(Y:Y,MATCH(Y82,$S:$S,0)+16))</f>
        <v>153</v>
      </c>
      <c r="Z88" s="377"/>
      <c r="AA88" s="376">
        <f>ABS(INDEX(AA:AA,MATCH(AA82,$S:$S,0)+14)+INDEX(AA:AA,MATCH(AA82,$S:$S,0)+15)+INDEX(AA:AA,MATCH(AA82,$S:$S,0)+16))</f>
        <v>151</v>
      </c>
      <c r="AB88" s="377"/>
      <c r="AC88" s="376">
        <f>ABS(INDEX(AC:AC,MATCH(AC82,$S:$S,0)+14)+INDEX(AC:AC,MATCH(AC82,$S:$S,0)+15)+INDEX(AC:AC,MATCH(AC82,$S:$S,0)+16))</f>
        <v>147</v>
      </c>
      <c r="AD88" s="377"/>
      <c r="AE88" s="376">
        <f>ABS(INDEX(AE:AE,MATCH(AE82,$S:$S,0)+14)+INDEX(AE:AE,MATCH(AE82,$S:$S,0)+15)+INDEX(AE:AE,MATCH(AE82,$S:$S,0)+16))</f>
        <v>162</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651</v>
      </c>
      <c r="E89" s="347" t="str">
        <f>IF(V89=0,"",V89)</f>
        <v/>
      </c>
      <c r="F89" s="347">
        <f>IF(W89=1505,"",W89)</f>
        <v>608</v>
      </c>
      <c r="G89" s="347" t="str">
        <f>IF(X89=0,"",X89)</f>
        <v/>
      </c>
      <c r="H89" s="347">
        <f>IF(Y89=1505,"",Y89)</f>
        <v>585</v>
      </c>
      <c r="I89" s="347" t="str">
        <f>IF(Z89=0,"",Z89)</f>
        <v/>
      </c>
      <c r="J89" s="347">
        <f>IF(AA89=1505,"",AA89)</f>
        <v>606</v>
      </c>
      <c r="K89" s="347" t="str">
        <f>IF(AB89=0,"",AB89)</f>
        <v/>
      </c>
      <c r="L89" s="347">
        <f>IF(AC89=1505,"",AC89)</f>
        <v>636</v>
      </c>
      <c r="M89" s="347" t="str">
        <f>IF(AD89=0,"",AD89)</f>
        <v/>
      </c>
      <c r="N89" s="300"/>
      <c r="O89" s="300"/>
      <c r="S89" s="37" t="s">
        <v>1788</v>
      </c>
      <c r="T89" s="38"/>
      <c r="U89" s="348">
        <f>SUM(U85:U88)</f>
        <v>651</v>
      </c>
      <c r="V89" s="349"/>
      <c r="W89" s="348">
        <f>SUM(W85:W88)</f>
        <v>608</v>
      </c>
      <c r="X89" s="349"/>
      <c r="Y89" s="348">
        <f>SUM(Y85:Y88)</f>
        <v>585</v>
      </c>
      <c r="Z89" s="349"/>
      <c r="AA89" s="348">
        <f>SUM(AA85:AA88)</f>
        <v>606</v>
      </c>
      <c r="AB89" s="349"/>
      <c r="AC89" s="348">
        <f>SUM(AC85:AC88)</f>
        <v>636</v>
      </c>
      <c r="AD89" s="349"/>
      <c r="AE89" s="348">
        <f>SUM(AE85:AE88)</f>
        <v>634</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W89:X89"/>
    <mergeCell ref="Y89:Z89"/>
    <mergeCell ref="AA89:AB89"/>
    <mergeCell ref="AC89:AD89"/>
    <mergeCell ref="U88:V88"/>
    <mergeCell ref="W88:X88"/>
    <mergeCell ref="Y88:Z88"/>
    <mergeCell ref="AA88:AB88"/>
    <mergeCell ref="AC88:AD88"/>
    <mergeCell ref="AC85:AD85"/>
    <mergeCell ref="U86:V86"/>
    <mergeCell ref="W86:X86"/>
    <mergeCell ref="Y86:Z86"/>
    <mergeCell ref="AA86:AB86"/>
    <mergeCell ref="AC86:AD86"/>
    <mergeCell ref="U87:V87"/>
    <mergeCell ref="W87:X87"/>
    <mergeCell ref="Y87:Z87"/>
    <mergeCell ref="AA87:AB87"/>
    <mergeCell ref="AC87:AD87"/>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U55:V55"/>
    <mergeCell ref="W55:X55"/>
    <mergeCell ref="Y55:Z55"/>
    <mergeCell ref="AA55:AB55"/>
    <mergeCell ref="AC55:AD55"/>
    <mergeCell ref="U56:V56"/>
    <mergeCell ref="W56:X56"/>
    <mergeCell ref="Y56:Z56"/>
    <mergeCell ref="AA56:AB56"/>
    <mergeCell ref="AC56:AD56"/>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D5:E5"/>
    <mergeCell ref="F5:G5"/>
    <mergeCell ref="H5:I5"/>
    <mergeCell ref="J5:K5"/>
    <mergeCell ref="L5:M5"/>
    <mergeCell ref="N5:O5"/>
    <mergeCell ref="A7:A9"/>
    <mergeCell ref="E7:E9"/>
    <mergeCell ref="G7:G9"/>
    <mergeCell ref="I7:I9"/>
    <mergeCell ref="K7:K9"/>
    <mergeCell ref="M7:M9"/>
    <mergeCell ref="O7:O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B28:C28"/>
    <mergeCell ref="D28:E28"/>
    <mergeCell ref="F28:G28"/>
    <mergeCell ref="H28:I28"/>
    <mergeCell ref="J28:K28"/>
    <mergeCell ref="L28:M28"/>
    <mergeCell ref="N28:O28"/>
    <mergeCell ref="B27:C27"/>
    <mergeCell ref="D27:E27"/>
    <mergeCell ref="F27:G27"/>
    <mergeCell ref="H27:I27"/>
    <mergeCell ref="J27:K27"/>
    <mergeCell ref="L27:M27"/>
    <mergeCell ref="B29:C29"/>
    <mergeCell ref="D29:E29"/>
    <mergeCell ref="F29:G29"/>
    <mergeCell ref="H29:I29"/>
    <mergeCell ref="J29:K29"/>
    <mergeCell ref="L29:M29"/>
    <mergeCell ref="N29:O29"/>
    <mergeCell ref="P31:R31"/>
    <mergeCell ref="AD31:AH31"/>
    <mergeCell ref="M31:O31"/>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B58:C58"/>
    <mergeCell ref="D58:E58"/>
    <mergeCell ref="F58:G58"/>
    <mergeCell ref="H58:I58"/>
    <mergeCell ref="J58:K58"/>
    <mergeCell ref="L58:M58"/>
    <mergeCell ref="N58:O58"/>
    <mergeCell ref="B57:C57"/>
    <mergeCell ref="D57:E57"/>
    <mergeCell ref="F57:G57"/>
    <mergeCell ref="H57:I57"/>
    <mergeCell ref="J57:K57"/>
    <mergeCell ref="L57:M57"/>
    <mergeCell ref="U57:V57"/>
    <mergeCell ref="W57:X57"/>
    <mergeCell ref="Y57:Z57"/>
    <mergeCell ref="AA57:AB57"/>
    <mergeCell ref="AC57:AD57"/>
    <mergeCell ref="U58:V58"/>
    <mergeCell ref="W58:X58"/>
    <mergeCell ref="Y58:Z58"/>
    <mergeCell ref="AA58:AB58"/>
    <mergeCell ref="AC58:AD58"/>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D85:E85"/>
    <mergeCell ref="F85:G85"/>
    <mergeCell ref="H85:I85"/>
    <mergeCell ref="J85:K85"/>
    <mergeCell ref="L85:M85"/>
    <mergeCell ref="U83:V83"/>
    <mergeCell ref="W83:X83"/>
    <mergeCell ref="Y83:Z83"/>
    <mergeCell ref="AA83:AB83"/>
    <mergeCell ref="U85:V85"/>
    <mergeCell ref="W85:X85"/>
    <mergeCell ref="Y85:Z85"/>
    <mergeCell ref="AA85:AB85"/>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AE23:AF23"/>
    <mergeCell ref="AE25:AF25"/>
    <mergeCell ref="AE26:AF26"/>
    <mergeCell ref="AE27:AF27"/>
    <mergeCell ref="AE28:AF28"/>
    <mergeCell ref="AE29:AF29"/>
    <mergeCell ref="AE53:AF53"/>
    <mergeCell ref="AE55:AF55"/>
    <mergeCell ref="AE56:AF56"/>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Schlüssel!BA1</f>
        <v>16.02.</v>
      </c>
      <c r="Q1" s="390"/>
      <c r="R1" s="51"/>
      <c r="S1" s="51"/>
      <c r="AA1" s="223" t="s">
        <v>2086</v>
      </c>
    </row>
    <row r="2" spans="1:31" ht="28.5" customHeight="1" x14ac:dyDescent="0.25">
      <c r="A2" s="391" t="str">
        <f>"Saison "&amp;Spielorte!C18&amp;"     -     Spieltag "&amp;Erfassung3!AD2&amp;"     -     "&amp;TEXT(Erfassung3!AD1,"T. MMMM JJJJ")</f>
        <v>Saison 2024/2025     -     Spieltag 3     -     16.02.</v>
      </c>
      <c r="B2" s="391"/>
      <c r="C2" s="391"/>
      <c r="D2" s="391"/>
      <c r="E2" s="391"/>
      <c r="F2" s="391"/>
      <c r="G2" s="391"/>
      <c r="H2" s="391"/>
      <c r="I2" s="391"/>
      <c r="J2" s="391"/>
      <c r="K2" s="391"/>
      <c r="L2" s="391"/>
      <c r="M2" s="391"/>
      <c r="N2" s="391"/>
      <c r="O2" s="391"/>
      <c r="P2" s="391"/>
      <c r="Q2" s="391"/>
      <c r="R2" s="51"/>
      <c r="S2" s="51"/>
    </row>
    <row r="3" spans="1:31" ht="28.5" customHeight="1" x14ac:dyDescent="0.25">
      <c r="A3" s="391" t="str">
        <f>Schlüssel!$AQ$2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3">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3">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 thickBot="1" x14ac:dyDescent="0.3">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6" x14ac:dyDescent="0.3">
      <c r="B12" s="382" t="s">
        <v>1812</v>
      </c>
      <c r="C12" s="382"/>
      <c r="D12" s="382"/>
      <c r="E12" s="382"/>
      <c r="F12" s="382"/>
      <c r="G12" s="382"/>
      <c r="H12" s="382"/>
      <c r="I12" s="382"/>
      <c r="J12" s="382"/>
      <c r="K12" s="382"/>
      <c r="L12" s="382"/>
      <c r="M12" s="382"/>
      <c r="N12" s="382"/>
      <c r="O12" s="382"/>
      <c r="P12" s="382"/>
      <c r="Q12" s="382"/>
      <c r="R12" s="106"/>
      <c r="S12" s="106"/>
      <c r="T12" s="106"/>
    </row>
    <row r="13" spans="1:31" x14ac:dyDescent="0.25">
      <c r="C13" s="394"/>
      <c r="D13" s="394"/>
      <c r="E13" s="394"/>
      <c r="F13" s="394"/>
      <c r="G13" s="394"/>
      <c r="H13" s="394"/>
    </row>
    <row r="14" spans="1:31" x14ac:dyDescent="0.25">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Weiske, Marina</v>
      </c>
      <c r="H17" t="str">
        <f>INDEX(Erfassung3!BR:BR,MATCH(C17,Erfassung3!S:S,0))</f>
        <v>Mainauenbowler Bayreuth Land</v>
      </c>
      <c r="N17" s="381" t="str">
        <f>IFERROR(ROUND(INDEX(Erfassung3!BT:BT,MATCH(1,Erfassung3!BW:BW,0)),0),"")&amp;"  /  "&amp;ROUND(IFERROR(ROUND(INDEX(Erfassung3!BT:BT,MATCH(1,Erfassung3!BW:BW,0)),0),"")/6,2)</f>
        <v>1121  /  186,83</v>
      </c>
      <c r="O17" s="381"/>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F13" sqref="F13"/>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90" t="str">
        <f>Schlüssel!$C$1</f>
        <v>Landesliga Nord Frauen</v>
      </c>
      <c r="B1" s="390"/>
      <c r="C1" s="390"/>
      <c r="D1" s="390"/>
      <c r="E1" s="390"/>
      <c r="F1" s="390"/>
      <c r="G1" s="390"/>
      <c r="H1" s="390"/>
      <c r="I1" s="390"/>
      <c r="J1" s="390"/>
      <c r="K1" s="390"/>
    </row>
    <row r="2" spans="1:12" ht="28.5" customHeight="1" x14ac:dyDescent="0.25">
      <c r="A2" s="391" t="str">
        <f>"Saison "&amp;Spielorte!C18&amp;"     -     Spieltag "&amp;Erfassung3!AD2&amp;"     -     "&amp;TEXT(Erfassung3!AD1,"T. MMMM JJJJ")</f>
        <v>Saison 2024/2025     -     Spieltag 3     -     16.02.</v>
      </c>
      <c r="B2" s="391"/>
      <c r="C2" s="391"/>
      <c r="D2" s="391"/>
      <c r="E2" s="391"/>
      <c r="F2" s="391"/>
      <c r="G2" s="391"/>
      <c r="H2" s="391"/>
      <c r="I2" s="391"/>
      <c r="J2" s="391"/>
      <c r="K2" s="391"/>
    </row>
    <row r="3" spans="1:12" ht="28.5" customHeight="1" x14ac:dyDescent="0.25">
      <c r="A3" s="390" t="s">
        <v>1859</v>
      </c>
      <c r="B3" s="390"/>
      <c r="C3" s="390"/>
      <c r="D3" s="390"/>
      <c r="E3" s="390"/>
      <c r="F3" s="390"/>
      <c r="G3" s="390"/>
      <c r="H3" s="390"/>
      <c r="I3" s="390"/>
      <c r="J3" s="390"/>
      <c r="K3" s="390"/>
    </row>
    <row r="4" spans="1:12" ht="28.5" customHeight="1" thickBot="1" x14ac:dyDescent="0.3">
      <c r="A4" s="218"/>
      <c r="B4" s="218"/>
      <c r="C4" s="87"/>
      <c r="D4" s="219"/>
      <c r="E4" s="219"/>
      <c r="F4" s="219"/>
      <c r="G4" s="219"/>
      <c r="H4" s="219"/>
      <c r="I4" s="219"/>
      <c r="J4" s="88"/>
      <c r="K4" s="162"/>
    </row>
    <row r="5" spans="1:12" x14ac:dyDescent="0.25">
      <c r="A5" s="392" t="s">
        <v>1800</v>
      </c>
      <c r="B5" s="387" t="s">
        <v>1801</v>
      </c>
      <c r="C5" s="383" t="s">
        <v>1804</v>
      </c>
      <c r="D5" s="384"/>
      <c r="E5" s="383" t="s">
        <v>1805</v>
      </c>
      <c r="F5" s="384"/>
      <c r="G5" s="383" t="s">
        <v>1806</v>
      </c>
      <c r="H5" s="384"/>
      <c r="I5" s="383" t="s">
        <v>1788</v>
      </c>
      <c r="J5" s="384"/>
      <c r="K5" s="385" t="s">
        <v>1802</v>
      </c>
    </row>
    <row r="6" spans="1:12" ht="13.8" thickBot="1" x14ac:dyDescent="0.3">
      <c r="A6" s="393"/>
      <c r="B6" s="388"/>
      <c r="C6" s="73" t="s">
        <v>1796</v>
      </c>
      <c r="D6" s="74" t="s">
        <v>1797</v>
      </c>
      <c r="E6" s="73" t="s">
        <v>1796</v>
      </c>
      <c r="F6" s="74" t="s">
        <v>1797</v>
      </c>
      <c r="G6" s="73" t="s">
        <v>1796</v>
      </c>
      <c r="H6" s="74" t="s">
        <v>1797</v>
      </c>
      <c r="I6" s="73" t="s">
        <v>1796</v>
      </c>
      <c r="J6" s="74" t="s">
        <v>1797</v>
      </c>
      <c r="K6" s="386"/>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5">
      <c r="L3" s="108">
        <f>INDEX(Starter!A:A,ROW()-1)</f>
        <v>38735</v>
      </c>
      <c r="M3" s="108">
        <f>SUMIF(Erfassung3!BD:BD,L3,Erfassung3!BE:BE)</f>
        <v>0</v>
      </c>
      <c r="N3" s="108">
        <f>SUMIF(Erfassung3!BD:BD,L3,Erfassung3!BG:BG)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5">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5">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5">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5">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5">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SUMIF(Erfassung3!BD:BD,L19,Erfassung3!BE:BE)</f>
        <v>0</v>
      </c>
      <c r="N19" s="108">
        <f>SUMIF(Erfassung3!BD:BD,L19,Erfassung3!BG:BG)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INDEX(SchnittGes2!M:M,MATCH(L19,SchnittGes2!L:L,0))+INDEX(Schnitt3!M:M,MATCH(L19,Schnitt3!L:L,0))</f>
        <v>222</v>
      </c>
      <c r="N19">
        <f>INDEX(SchnittGes2!N:N,MATCH(L19,SchnittGes2!L:L,0))+INDEX(Schnitt3!N:N,MATCH(L19,Schnitt3!L:L,0))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3" zoomScaleNormal="100" workbookViewId="0">
      <selection activeCell="C19" sqref="C19:T1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+Spielzettel4!M2</f>
        <v>4</v>
      </c>
      <c r="F6" s="325"/>
      <c r="P6" s="128" t="s">
        <v>1821</v>
      </c>
      <c r="Q6" s="326" t="str">
        <f>+Spielzettel4!L1</f>
        <v>16.03.</v>
      </c>
      <c r="R6" s="327">
        <v>0</v>
      </c>
      <c r="S6" s="327">
        <v>0</v>
      </c>
      <c r="T6" s="328">
        <v>0</v>
      </c>
      <c r="U6" s="61"/>
    </row>
    <row r="7" spans="2:21" x14ac:dyDescent="0.25">
      <c r="B7" s="60"/>
      <c r="C7" s="128"/>
      <c r="D7" s="128"/>
      <c r="U7" s="61"/>
    </row>
    <row r="8" spans="2:21" x14ac:dyDescent="0.25">
      <c r="B8" s="60"/>
      <c r="C8" s="128" t="s">
        <v>1822</v>
      </c>
      <c r="D8" s="128"/>
      <c r="E8" s="329" t="str">
        <f>+Spielzettel4!D2</f>
        <v>Nürnberg West Bowling</v>
      </c>
      <c r="F8" s="330"/>
      <c r="G8" s="330"/>
      <c r="H8" s="330">
        <v>0</v>
      </c>
      <c r="I8" s="330"/>
      <c r="J8" s="331"/>
      <c r="N8" s="128" t="s">
        <v>1823</v>
      </c>
      <c r="P8" s="329" t="str">
        <f>+Spielzettel4!D1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t="s">
        <v>2412</v>
      </c>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D14" sqref="D14"/>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Schlüssel!$BU$1</f>
        <v>16.03.</v>
      </c>
      <c r="M1" s="353"/>
      <c r="N1" s="353"/>
      <c r="O1" s="353"/>
      <c r="P1" s="353"/>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12</v>
      </c>
      <c r="F4" s="47" t="s">
        <v>10</v>
      </c>
      <c r="G4" s="7">
        <f>VLOOKUP(B2,Schlüssel!$A$5:$DF$10,74)</f>
        <v>11</v>
      </c>
      <c r="H4" s="47" t="s">
        <v>10</v>
      </c>
      <c r="I4" s="7">
        <f>VLOOKUP(B2,Schlüssel!$A$5:$DF$10,75)</f>
        <v>12</v>
      </c>
      <c r="J4" s="47" t="s">
        <v>10</v>
      </c>
      <c r="K4" s="7">
        <f>VLOOKUP(B2,Schlüssel!$A$5:$DF$10,76)</f>
        <v>11</v>
      </c>
      <c r="L4" s="47" t="s">
        <v>10</v>
      </c>
      <c r="M4" s="66">
        <f>VLOOKUP(B2,Schlüssel!$A$5:$DF$10,77)</f>
        <v>12</v>
      </c>
      <c r="N4" s="43" t="s">
        <v>10</v>
      </c>
      <c r="O4" s="66">
        <f>VLOOKUP(B2,Schlüssel!$A$5:$DF$10,78)</f>
        <v>11</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VLOOKUP(B2,Schlüssel!$A$5:$DF$10,63)</f>
        <v>2</v>
      </c>
      <c r="E22" s="363"/>
      <c r="F22" s="363">
        <f>VLOOKUP(B2,Schlüssel!$A$5:$DF$10,64)</f>
        <v>2</v>
      </c>
      <c r="G22" s="363"/>
      <c r="H22" s="363">
        <f>VLOOKUP(B2,Schlüssel!$A$5:$DF$10,65)</f>
        <v>2</v>
      </c>
      <c r="I22" s="363"/>
      <c r="J22" s="363">
        <f>VLOOKUP(B2,Schlüssel!$A$5:$DF$10,66)</f>
        <v>2</v>
      </c>
      <c r="K22" s="363"/>
      <c r="L22" s="363">
        <f>VLOOKUP(B2,Schlüssel!$A$5:$DF$10,67)</f>
        <v>2</v>
      </c>
      <c r="M22" s="363"/>
      <c r="N22" s="363">
        <f>VLOOKUP(B2,Schlüssel!$A$5:$DF$10,68)</f>
        <v>2</v>
      </c>
      <c r="O22" s="363"/>
      <c r="P22" s="364"/>
      <c r="Q22" s="364"/>
    </row>
    <row r="23" spans="1:31" ht="28.5" customHeight="1" x14ac:dyDescent="0.25">
      <c r="B23" s="4"/>
      <c r="C23" s="1"/>
      <c r="D23" s="360" t="str">
        <f>VLOOKUP(D22,Schlüssel!$A$5:$K$10,2)</f>
        <v>BC Phönix Lauf</v>
      </c>
      <c r="E23" s="361"/>
      <c r="F23" s="360" t="str">
        <f>VLOOKUP(F22,Schlüssel!$A$5:$K$10,2)</f>
        <v>BC Phönix Lauf</v>
      </c>
      <c r="G23" s="361"/>
      <c r="H23" s="360" t="str">
        <f>VLOOKUP(H22,Schlüssel!$A$5:$K$10,2)</f>
        <v>BC Phönix Lauf</v>
      </c>
      <c r="I23" s="361"/>
      <c r="J23" s="360" t="str">
        <f>VLOOKUP(J22,Schlüssel!$A$5:$K$10,2)</f>
        <v>BC Phönix Lauf</v>
      </c>
      <c r="K23" s="361"/>
      <c r="L23" s="360" t="str">
        <f>VLOOKUP(L22,Schlüssel!$A$5:$K$10,2)</f>
        <v>BC Phönix Lauf</v>
      </c>
      <c r="M23" s="361"/>
      <c r="N23" s="360" t="str">
        <f>VLOOKUP(N22,Schlüssel!$A$5:$K$10,2)</f>
        <v>BC Phönix Lauf</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Schlüssel!$BU$1</f>
        <v>16.03.</v>
      </c>
      <c r="M30" s="353"/>
      <c r="N30" s="353"/>
      <c r="O30" s="353"/>
      <c r="P30" s="353"/>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11</v>
      </c>
      <c r="F33" s="47" t="s">
        <v>10</v>
      </c>
      <c r="G33" s="7">
        <f>VLOOKUP(B31,Schlüssel!$A$5:$DF$10,74)</f>
        <v>12</v>
      </c>
      <c r="H33" s="47" t="s">
        <v>10</v>
      </c>
      <c r="I33" s="7">
        <f>VLOOKUP(B31,Schlüssel!$A$5:$DF$10,75)</f>
        <v>11</v>
      </c>
      <c r="J33" s="47" t="s">
        <v>10</v>
      </c>
      <c r="K33" s="7">
        <f>VLOOKUP(B31,Schlüssel!$A$5:$DF$10,76)</f>
        <v>12</v>
      </c>
      <c r="L33" s="47" t="s">
        <v>10</v>
      </c>
      <c r="M33" s="66">
        <f>VLOOKUP(B31,Schlüssel!$A$5:$DF$10,77)</f>
        <v>11</v>
      </c>
      <c r="N33" s="43" t="s">
        <v>10</v>
      </c>
      <c r="O33" s="66">
        <f>VLOOKUP(B31,Schlüssel!$A$5:$DF$10,78)</f>
        <v>12</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VLOOKUP(B31,Schlüssel!$A$5:$DF$10,63)</f>
        <v>1</v>
      </c>
      <c r="E51" s="363"/>
      <c r="F51" s="363">
        <f>VLOOKUP(B31,Schlüssel!$A$5:$DF$10,64)</f>
        <v>1</v>
      </c>
      <c r="G51" s="363"/>
      <c r="H51" s="363">
        <f>VLOOKUP(B31,Schlüssel!$A$5:$DF$10,65)</f>
        <v>1</v>
      </c>
      <c r="I51" s="363"/>
      <c r="J51" s="363">
        <f>VLOOKUP(B31,Schlüssel!$A$5:$DF$10,66)</f>
        <v>1</v>
      </c>
      <c r="K51" s="363"/>
      <c r="L51" s="363">
        <f>VLOOKUP(B31,Schlüssel!$A$5:$DF$10,67)</f>
        <v>1</v>
      </c>
      <c r="M51" s="363"/>
      <c r="N51" s="363">
        <f>VLOOKUP(B31,Schlüssel!$A$5:$DF$10,68)</f>
        <v>1</v>
      </c>
      <c r="O51" s="363"/>
      <c r="P51" s="364"/>
      <c r="Q51" s="364"/>
    </row>
    <row r="52" spans="1:31" ht="28.5" customHeight="1" x14ac:dyDescent="0.25">
      <c r="B52" s="4"/>
      <c r="C52" s="1"/>
      <c r="D52" s="360" t="str">
        <f>VLOOKUP(D51,Schlüssel!$A$5:$K$10,2)</f>
        <v>Kleeblatt Fürth</v>
      </c>
      <c r="E52" s="361"/>
      <c r="F52" s="360" t="str">
        <f>VLOOKUP(F51,Schlüssel!$A$5:$K$10,2)</f>
        <v>Kleeblatt Fürth</v>
      </c>
      <c r="G52" s="361"/>
      <c r="H52" s="360" t="str">
        <f>VLOOKUP(H51,Schlüssel!$A$5:$K$10,2)</f>
        <v>Kleeblatt Fürth</v>
      </c>
      <c r="I52" s="361"/>
      <c r="J52" s="360" t="str">
        <f>VLOOKUP(J51,Schlüssel!$A$5:$K$10,2)</f>
        <v>Kleeblatt Fürth</v>
      </c>
      <c r="K52" s="361"/>
      <c r="L52" s="360" t="str">
        <f>VLOOKUP(L51,Schlüssel!$A$5:$K$10,2)</f>
        <v>Kleeblatt Fürth</v>
      </c>
      <c r="M52" s="361"/>
      <c r="N52" s="360" t="str">
        <f>VLOOKUP(N51,Schlüssel!$A$5:$K$10,2)</f>
        <v>Kleeblatt Fürth</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Schlüssel!$BU$1</f>
        <v>16.03.</v>
      </c>
      <c r="M59" s="353"/>
      <c r="N59" s="353"/>
      <c r="O59" s="353"/>
      <c r="P59" s="353"/>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VLOOKUP(B60,Schlüssel!$A$5:$DF$10,63)</f>
        <v>0</v>
      </c>
      <c r="E80" s="363"/>
      <c r="F80" s="363">
        <f>VLOOKUP(B60,Schlüssel!$A$5:$DF$10,64)</f>
        <v>0</v>
      </c>
      <c r="G80" s="363"/>
      <c r="H80" s="363">
        <f>VLOOKUP(B60,Schlüssel!$A$5:$DF$10,65)</f>
        <v>0</v>
      </c>
      <c r="I80" s="363"/>
      <c r="J80" s="363">
        <f>VLOOKUP(B60,Schlüssel!$A$5:$DF$10,66)</f>
        <v>0</v>
      </c>
      <c r="K80" s="363"/>
      <c r="L80" s="363">
        <f>VLOOKUP(B60,Schlüssel!$A$5:$DF$10,67)</f>
        <v>0</v>
      </c>
      <c r="M80" s="363"/>
      <c r="N80" s="363">
        <f>VLOOKUP(B60,Schlüssel!$A$5:$DF$10,68)</f>
        <v>0</v>
      </c>
      <c r="O80" s="363"/>
      <c r="P80" s="364"/>
      <c r="Q80" s="364"/>
    </row>
    <row r="81" spans="1:31" ht="28.5" customHeight="1" x14ac:dyDescent="0.25">
      <c r="B81" s="4"/>
      <c r="C81" s="1"/>
      <c r="D81" s="360" t="e">
        <f>VLOOKUP(D80,Schlüssel!$A$5:$K$10,2)</f>
        <v>#N/A</v>
      </c>
      <c r="E81" s="361"/>
      <c r="F81" s="360" t="e">
        <f>VLOOKUP(F80,Schlüssel!$A$5:$K$10,2)</f>
        <v>#N/A</v>
      </c>
      <c r="G81" s="361"/>
      <c r="H81" s="360" t="e">
        <f>VLOOKUP(H80,Schlüssel!$A$5:$K$10,2)</f>
        <v>#N/A</v>
      </c>
      <c r="I81" s="361"/>
      <c r="J81" s="360" t="e">
        <f>VLOOKUP(J80,Schlüssel!$A$5:$K$10,2)</f>
        <v>#N/A</v>
      </c>
      <c r="K81" s="361"/>
      <c r="L81" s="360" t="e">
        <f>VLOOKUP(L80,Schlüssel!$A$5:$K$10,2)</f>
        <v>#N/A</v>
      </c>
      <c r="M81" s="361"/>
      <c r="N81" s="360" t="e">
        <f>VLOOKUP(N80,Schlüssel!$A$5:$K$10,2)</f>
        <v>#N/A</v>
      </c>
      <c r="O81" s="361"/>
      <c r="P81" s="362"/>
      <c r="Q81" s="362"/>
    </row>
    <row r="82" spans="1:31" ht="12" customHeight="1" x14ac:dyDescent="0.25">
      <c r="B82" s="4"/>
      <c r="C82" s="1"/>
      <c r="D82" s="365"/>
      <c r="E82" s="365"/>
      <c r="F82" s="365"/>
      <c r="G82" s="365"/>
      <c r="H82" s="365"/>
      <c r="I82" s="365"/>
      <c r="J82" s="365"/>
      <c r="K82" s="365"/>
      <c r="L82" s="365"/>
      <c r="M82" s="365"/>
      <c r="N82" s="365"/>
      <c r="O82" s="365"/>
      <c r="P82" s="307"/>
      <c r="Q82" s="307"/>
    </row>
    <row r="83" spans="1:31" ht="15.9" customHeight="1" x14ac:dyDescent="0.25">
      <c r="B83" s="35" t="s">
        <v>0</v>
      </c>
      <c r="C83" s="36"/>
      <c r="D83" s="346"/>
      <c r="E83" s="346"/>
      <c r="F83" s="346"/>
      <c r="G83" s="346"/>
      <c r="H83" s="346"/>
      <c r="I83" s="346"/>
      <c r="J83" s="346"/>
      <c r="K83" s="346"/>
      <c r="L83" s="346"/>
      <c r="M83" s="346"/>
      <c r="N83" s="346"/>
      <c r="O83" s="346"/>
      <c r="P83" s="354"/>
      <c r="Q83" s="354"/>
    </row>
    <row r="84" spans="1:31" ht="15.9" customHeight="1" x14ac:dyDescent="0.25">
      <c r="B84" s="35" t="s">
        <v>2</v>
      </c>
      <c r="C84" s="36"/>
      <c r="D84" s="346"/>
      <c r="E84" s="346"/>
      <c r="F84" s="346"/>
      <c r="G84" s="346"/>
      <c r="H84" s="346"/>
      <c r="I84" s="346"/>
      <c r="J84" s="346"/>
      <c r="K84" s="346"/>
      <c r="L84" s="346"/>
      <c r="M84" s="346"/>
      <c r="N84" s="346"/>
      <c r="O84" s="346"/>
      <c r="P84" s="354"/>
      <c r="Q84" s="354"/>
    </row>
    <row r="85" spans="1:31" ht="15.9" customHeight="1" x14ac:dyDescent="0.25">
      <c r="B85" s="35" t="s">
        <v>3</v>
      </c>
      <c r="C85" s="36"/>
      <c r="D85" s="346"/>
      <c r="E85" s="346"/>
      <c r="F85" s="346"/>
      <c r="G85" s="346"/>
      <c r="H85" s="346"/>
      <c r="I85" s="346"/>
      <c r="J85" s="346"/>
      <c r="K85" s="346"/>
      <c r="L85" s="346"/>
      <c r="M85" s="346"/>
      <c r="N85" s="346"/>
      <c r="O85" s="346"/>
      <c r="P85" s="354"/>
      <c r="Q85" s="354"/>
    </row>
    <row r="86" spans="1:31" ht="15.9" customHeight="1" x14ac:dyDescent="0.25">
      <c r="B86" s="35" t="s">
        <v>11</v>
      </c>
      <c r="C86" s="36"/>
      <c r="D86" s="346"/>
      <c r="E86" s="346"/>
      <c r="F86" s="346"/>
      <c r="G86" s="346"/>
      <c r="H86" s="346"/>
      <c r="I86" s="346"/>
      <c r="J86" s="346"/>
      <c r="K86" s="346"/>
      <c r="L86" s="346"/>
      <c r="M86" s="346"/>
      <c r="N86" s="346"/>
      <c r="O86" s="346"/>
      <c r="P86" s="354"/>
      <c r="Q86" s="354"/>
    </row>
    <row r="87" spans="1:31" ht="15.9" customHeight="1" x14ac:dyDescent="0.25">
      <c r="B87" s="37" t="s">
        <v>1788</v>
      </c>
      <c r="C87" s="38"/>
      <c r="D87" s="347"/>
      <c r="E87" s="347"/>
      <c r="F87" s="347"/>
      <c r="G87" s="347"/>
      <c r="H87" s="347"/>
      <c r="I87" s="347"/>
      <c r="J87" s="347"/>
      <c r="K87" s="347"/>
      <c r="L87" s="347"/>
      <c r="M87" s="347"/>
      <c r="N87" s="347"/>
      <c r="O87" s="347"/>
      <c r="P87" s="300"/>
      <c r="Q87" s="300"/>
    </row>
    <row r="88" spans="1:31" ht="21" customHeight="1" x14ac:dyDescent="0.4">
      <c r="B88" s="7" t="s">
        <v>1798</v>
      </c>
      <c r="C88" s="30" t="s">
        <v>1782</v>
      </c>
      <c r="D88" s="76" t="str">
        <f>Schlüssel!$C$1</f>
        <v>Landesliga Nord Frauen</v>
      </c>
      <c r="F88" s="25"/>
      <c r="G88" s="25"/>
      <c r="H88" s="25"/>
      <c r="I88" s="25"/>
      <c r="K88" s="29"/>
      <c r="L88" s="353" t="str">
        <f>Schlüssel!$BU$1</f>
        <v>16.03.</v>
      </c>
      <c r="M88" s="353"/>
      <c r="N88" s="353"/>
      <c r="O88" s="353"/>
      <c r="P88" s="353"/>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48" t="s">
        <v>1789</v>
      </c>
      <c r="E92" s="349"/>
      <c r="F92" s="348" t="s">
        <v>1790</v>
      </c>
      <c r="G92" s="349"/>
      <c r="H92" s="348" t="s">
        <v>1791</v>
      </c>
      <c r="I92" s="349"/>
      <c r="J92" s="348" t="s">
        <v>1792</v>
      </c>
      <c r="K92" s="349"/>
      <c r="L92" s="348" t="s">
        <v>1793</v>
      </c>
      <c r="M92" s="349"/>
      <c r="N92" s="348" t="s">
        <v>2088</v>
      </c>
      <c r="O92" s="349"/>
      <c r="P92" s="355" t="s">
        <v>1788</v>
      </c>
      <c r="Q92" s="356"/>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7" t="s">
        <v>0</v>
      </c>
      <c r="B94" s="17"/>
      <c r="C94" s="18"/>
      <c r="D94" s="14"/>
      <c r="E94" s="350"/>
      <c r="F94" s="14"/>
      <c r="G94" s="350"/>
      <c r="H94" s="14"/>
      <c r="I94" s="350"/>
      <c r="J94" s="14"/>
      <c r="K94" s="350"/>
      <c r="L94" s="14"/>
      <c r="M94" s="350"/>
      <c r="N94" s="14"/>
      <c r="O94" s="350"/>
      <c r="P94" s="14"/>
      <c r="Q94" s="350"/>
    </row>
    <row r="95" spans="1:31" ht="17.100000000000001" customHeight="1" x14ac:dyDescent="0.25">
      <c r="A95" s="358"/>
      <c r="B95" s="19"/>
      <c r="C95" s="20"/>
      <c r="D95" s="15"/>
      <c r="E95" s="351"/>
      <c r="F95" s="15"/>
      <c r="G95" s="351"/>
      <c r="H95" s="15"/>
      <c r="I95" s="351"/>
      <c r="J95" s="15"/>
      <c r="K95" s="351"/>
      <c r="L95" s="15"/>
      <c r="M95" s="351"/>
      <c r="N95" s="15"/>
      <c r="O95" s="351"/>
      <c r="P95" s="15"/>
      <c r="Q95" s="351"/>
    </row>
    <row r="96" spans="1:31" ht="17.100000000000001" customHeight="1" thickBot="1" x14ac:dyDescent="0.3">
      <c r="A96" s="359"/>
      <c r="B96" s="21"/>
      <c r="C96" s="22"/>
      <c r="D96" s="9"/>
      <c r="E96" s="352"/>
      <c r="F96" s="9"/>
      <c r="G96" s="352"/>
      <c r="H96" s="9"/>
      <c r="I96" s="352"/>
      <c r="J96" s="9"/>
      <c r="K96" s="352"/>
      <c r="L96" s="9"/>
      <c r="M96" s="352"/>
      <c r="N96" s="9"/>
      <c r="O96" s="352"/>
      <c r="P96" s="9"/>
      <c r="Q96" s="352"/>
    </row>
    <row r="97" spans="1:17" ht="17.100000000000001" customHeight="1" x14ac:dyDescent="0.25">
      <c r="A97" s="357" t="s">
        <v>2</v>
      </c>
      <c r="B97" s="17"/>
      <c r="C97" s="18"/>
      <c r="D97" s="14"/>
      <c r="E97" s="350"/>
      <c r="F97" s="14"/>
      <c r="G97" s="350"/>
      <c r="H97" s="14"/>
      <c r="I97" s="350"/>
      <c r="J97" s="14"/>
      <c r="K97" s="350"/>
      <c r="L97" s="14"/>
      <c r="M97" s="350"/>
      <c r="N97" s="14"/>
      <c r="O97" s="350"/>
      <c r="P97" s="14"/>
      <c r="Q97" s="350"/>
    </row>
    <row r="98" spans="1:17" ht="17.100000000000001" customHeight="1" x14ac:dyDescent="0.25">
      <c r="A98" s="358"/>
      <c r="B98" s="19"/>
      <c r="C98" s="20"/>
      <c r="D98" s="15"/>
      <c r="E98" s="351"/>
      <c r="F98" s="15"/>
      <c r="G98" s="351"/>
      <c r="H98" s="15"/>
      <c r="I98" s="351"/>
      <c r="J98" s="15"/>
      <c r="K98" s="351"/>
      <c r="L98" s="15"/>
      <c r="M98" s="351"/>
      <c r="N98" s="15"/>
      <c r="O98" s="351"/>
      <c r="P98" s="15"/>
      <c r="Q98" s="351"/>
    </row>
    <row r="99" spans="1:17" ht="17.100000000000001" customHeight="1" thickBot="1" x14ac:dyDescent="0.3">
      <c r="A99" s="359"/>
      <c r="B99" s="21"/>
      <c r="C99" s="22"/>
      <c r="D99" s="9"/>
      <c r="E99" s="352"/>
      <c r="F99" s="9"/>
      <c r="G99" s="352"/>
      <c r="H99" s="9"/>
      <c r="I99" s="352"/>
      <c r="J99" s="9"/>
      <c r="K99" s="352"/>
      <c r="L99" s="9"/>
      <c r="M99" s="352"/>
      <c r="N99" s="9"/>
      <c r="O99" s="352"/>
      <c r="P99" s="9"/>
      <c r="Q99" s="352"/>
    </row>
    <row r="100" spans="1:17" ht="17.100000000000001" customHeight="1" x14ac:dyDescent="0.25">
      <c r="A100" s="357" t="s">
        <v>3</v>
      </c>
      <c r="B100" s="17"/>
      <c r="C100" s="18"/>
      <c r="D100" s="14"/>
      <c r="E100" s="350"/>
      <c r="F100" s="14"/>
      <c r="G100" s="350"/>
      <c r="H100" s="14"/>
      <c r="I100" s="350"/>
      <c r="J100" s="14"/>
      <c r="K100" s="350"/>
      <c r="L100" s="14"/>
      <c r="M100" s="350"/>
      <c r="N100" s="14"/>
      <c r="O100" s="350"/>
      <c r="P100" s="14"/>
      <c r="Q100" s="350"/>
    </row>
    <row r="101" spans="1:17" ht="17.100000000000001" customHeight="1" x14ac:dyDescent="0.25">
      <c r="A101" s="358"/>
      <c r="B101" s="19"/>
      <c r="C101" s="20"/>
      <c r="D101" s="15"/>
      <c r="E101" s="351"/>
      <c r="F101" s="15"/>
      <c r="G101" s="351"/>
      <c r="H101" s="15"/>
      <c r="I101" s="351"/>
      <c r="J101" s="15"/>
      <c r="K101" s="351"/>
      <c r="L101" s="15"/>
      <c r="M101" s="351"/>
      <c r="N101" s="15"/>
      <c r="O101" s="351"/>
      <c r="P101" s="15"/>
      <c r="Q101" s="351"/>
    </row>
    <row r="102" spans="1:17" ht="17.100000000000001" customHeight="1" thickBot="1" x14ac:dyDescent="0.3">
      <c r="A102" s="359"/>
      <c r="B102" s="21"/>
      <c r="C102" s="22"/>
      <c r="D102" s="9"/>
      <c r="E102" s="352"/>
      <c r="F102" s="9"/>
      <c r="G102" s="352"/>
      <c r="H102" s="9"/>
      <c r="I102" s="352"/>
      <c r="J102" s="9"/>
      <c r="K102" s="352"/>
      <c r="L102" s="9"/>
      <c r="M102" s="352"/>
      <c r="N102" s="9"/>
      <c r="O102" s="352"/>
      <c r="P102" s="9"/>
      <c r="Q102" s="352"/>
    </row>
    <row r="103" spans="1:17" ht="17.100000000000001" customHeight="1" x14ac:dyDescent="0.25">
      <c r="A103" s="357" t="s">
        <v>11</v>
      </c>
      <c r="B103" s="17"/>
      <c r="C103" s="18"/>
      <c r="D103" s="14"/>
      <c r="E103" s="350"/>
      <c r="F103" s="14"/>
      <c r="G103" s="350"/>
      <c r="H103" s="14"/>
      <c r="I103" s="350"/>
      <c r="J103" s="14"/>
      <c r="K103" s="350"/>
      <c r="L103" s="14"/>
      <c r="M103" s="350"/>
      <c r="N103" s="14"/>
      <c r="O103" s="350"/>
      <c r="P103" s="14"/>
      <c r="Q103" s="350"/>
    </row>
    <row r="104" spans="1:17" ht="17.100000000000001" customHeight="1" x14ac:dyDescent="0.25">
      <c r="A104" s="358"/>
      <c r="B104" s="19"/>
      <c r="C104" s="20"/>
      <c r="D104" s="15"/>
      <c r="E104" s="351"/>
      <c r="F104" s="15"/>
      <c r="G104" s="351"/>
      <c r="H104" s="15"/>
      <c r="I104" s="351"/>
      <c r="J104" s="15"/>
      <c r="K104" s="351"/>
      <c r="L104" s="15"/>
      <c r="M104" s="351"/>
      <c r="N104" s="15"/>
      <c r="O104" s="351"/>
      <c r="P104" s="15"/>
      <c r="Q104" s="351"/>
    </row>
    <row r="105" spans="1:17" ht="17.100000000000001" customHeight="1" thickBot="1" x14ac:dyDescent="0.3">
      <c r="A105" s="359"/>
      <c r="B105" s="21"/>
      <c r="C105" s="22"/>
      <c r="D105" s="9"/>
      <c r="E105" s="352"/>
      <c r="F105" s="9"/>
      <c r="G105" s="352"/>
      <c r="H105" s="9"/>
      <c r="I105" s="352"/>
      <c r="J105" s="9"/>
      <c r="K105" s="352"/>
      <c r="L105" s="9"/>
      <c r="M105" s="352"/>
      <c r="N105" s="9"/>
      <c r="O105" s="352"/>
      <c r="P105" s="9"/>
      <c r="Q105" s="352"/>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63">
        <f>VLOOKUP(B89,Schlüssel!$A$5:$DF$10,63)</f>
        <v>0</v>
      </c>
      <c r="E109" s="363"/>
      <c r="F109" s="363">
        <f>VLOOKUP(B89,Schlüssel!$A$5:$DF$10,64)</f>
        <v>0</v>
      </c>
      <c r="G109" s="363"/>
      <c r="H109" s="363">
        <f>VLOOKUP(B89,Schlüssel!$A$5:$DF$10,65)</f>
        <v>0</v>
      </c>
      <c r="I109" s="363"/>
      <c r="J109" s="363">
        <f>VLOOKUP(B89,Schlüssel!$A$5:$DF$10,66)</f>
        <v>0</v>
      </c>
      <c r="K109" s="363"/>
      <c r="L109" s="363">
        <f>VLOOKUP(B89,Schlüssel!$A$5:$DF$10,67)</f>
        <v>0</v>
      </c>
      <c r="M109" s="363"/>
      <c r="N109" s="363">
        <f>VLOOKUP(B89,Schlüssel!$A$5:$DF$10,68)</f>
        <v>0</v>
      </c>
      <c r="O109" s="363"/>
      <c r="P109" s="364"/>
      <c r="Q109" s="364"/>
    </row>
    <row r="110" spans="1:17" ht="28.5" customHeight="1" x14ac:dyDescent="0.25">
      <c r="B110" s="4"/>
      <c r="C110" s="1"/>
      <c r="D110" s="360" t="e">
        <f>VLOOKUP(D109,Schlüssel!$A$5:$K$10,2)</f>
        <v>#N/A</v>
      </c>
      <c r="E110" s="361"/>
      <c r="F110" s="360" t="e">
        <f>VLOOKUP(F109,Schlüssel!$A$5:$K$10,2)</f>
        <v>#N/A</v>
      </c>
      <c r="G110" s="361"/>
      <c r="H110" s="360" t="e">
        <f>VLOOKUP(H109,Schlüssel!$A$5:$K$10,2)</f>
        <v>#N/A</v>
      </c>
      <c r="I110" s="361"/>
      <c r="J110" s="360" t="e">
        <f>VLOOKUP(J109,Schlüssel!$A$5:$K$10,2)</f>
        <v>#N/A</v>
      </c>
      <c r="K110" s="361"/>
      <c r="L110" s="360" t="e">
        <f>VLOOKUP(L109,Schlüssel!$A$5:$K$10,2)</f>
        <v>#N/A</v>
      </c>
      <c r="M110" s="361"/>
      <c r="N110" s="360" t="e">
        <f>VLOOKUP(N109,Schlüssel!$A$5:$K$10,2)</f>
        <v>#N/A</v>
      </c>
      <c r="O110" s="361"/>
      <c r="P110" s="362"/>
      <c r="Q110" s="362"/>
    </row>
    <row r="111" spans="1:17" ht="12" customHeight="1" x14ac:dyDescent="0.25">
      <c r="B111" s="4"/>
      <c r="C111" s="1"/>
      <c r="D111" s="365"/>
      <c r="E111" s="365"/>
      <c r="F111" s="365"/>
      <c r="G111" s="365"/>
      <c r="H111" s="365"/>
      <c r="I111" s="365"/>
      <c r="J111" s="365"/>
      <c r="K111" s="365"/>
      <c r="L111" s="365"/>
      <c r="M111" s="365"/>
      <c r="N111" s="365"/>
      <c r="O111" s="365"/>
      <c r="P111" s="307"/>
      <c r="Q111" s="307"/>
    </row>
    <row r="112" spans="1:17" ht="15.9" customHeight="1" x14ac:dyDescent="0.25">
      <c r="B112" s="35" t="s">
        <v>0</v>
      </c>
      <c r="C112" s="36"/>
      <c r="D112" s="346"/>
      <c r="E112" s="346"/>
      <c r="F112" s="346"/>
      <c r="G112" s="346"/>
      <c r="H112" s="346"/>
      <c r="I112" s="346"/>
      <c r="J112" s="346"/>
      <c r="K112" s="346"/>
      <c r="L112" s="346"/>
      <c r="M112" s="346"/>
      <c r="N112" s="346"/>
      <c r="O112" s="346"/>
      <c r="P112" s="354"/>
      <c r="Q112" s="354"/>
    </row>
    <row r="113" spans="2:17" ht="15.9" customHeight="1" x14ac:dyDescent="0.25">
      <c r="B113" s="35" t="s">
        <v>2</v>
      </c>
      <c r="C113" s="36"/>
      <c r="D113" s="346"/>
      <c r="E113" s="346"/>
      <c r="F113" s="346"/>
      <c r="G113" s="346"/>
      <c r="H113" s="346"/>
      <c r="I113" s="346"/>
      <c r="J113" s="346"/>
      <c r="K113" s="346"/>
      <c r="L113" s="346"/>
      <c r="M113" s="346"/>
      <c r="N113" s="346"/>
      <c r="O113" s="346"/>
      <c r="P113" s="354"/>
      <c r="Q113" s="354"/>
    </row>
    <row r="114" spans="2:17" ht="15.9" customHeight="1" x14ac:dyDescent="0.25">
      <c r="B114" s="35" t="s">
        <v>3</v>
      </c>
      <c r="C114" s="36"/>
      <c r="D114" s="346"/>
      <c r="E114" s="346"/>
      <c r="F114" s="346"/>
      <c r="G114" s="346"/>
      <c r="H114" s="346"/>
      <c r="I114" s="346"/>
      <c r="J114" s="346"/>
      <c r="K114" s="346"/>
      <c r="L114" s="346"/>
      <c r="M114" s="346"/>
      <c r="N114" s="346"/>
      <c r="O114" s="346"/>
      <c r="P114" s="354"/>
      <c r="Q114" s="354"/>
    </row>
    <row r="115" spans="2:17" ht="15.9" customHeight="1" x14ac:dyDescent="0.25">
      <c r="B115" s="35" t="s">
        <v>11</v>
      </c>
      <c r="C115" s="36"/>
      <c r="D115" s="346"/>
      <c r="E115" s="346"/>
      <c r="F115" s="346"/>
      <c r="G115" s="346"/>
      <c r="H115" s="346"/>
      <c r="I115" s="346"/>
      <c r="J115" s="346"/>
      <c r="K115" s="346"/>
      <c r="L115" s="346"/>
      <c r="M115" s="346"/>
      <c r="N115" s="346"/>
      <c r="O115" s="346"/>
      <c r="P115" s="354"/>
      <c r="Q115" s="354"/>
    </row>
    <row r="116" spans="2:17" ht="15.9" customHeight="1" x14ac:dyDescent="0.25">
      <c r="B116" s="37" t="s">
        <v>1788</v>
      </c>
      <c r="C116" s="38"/>
      <c r="D116" s="347"/>
      <c r="E116" s="347"/>
      <c r="F116" s="347"/>
      <c r="G116" s="347"/>
      <c r="H116" s="347"/>
      <c r="I116" s="347"/>
      <c r="J116" s="347"/>
      <c r="K116" s="347"/>
      <c r="L116" s="347"/>
      <c r="M116" s="347"/>
      <c r="N116" s="347"/>
      <c r="O116" s="347"/>
      <c r="P116" s="300"/>
      <c r="Q116" s="300"/>
    </row>
  </sheetData>
  <sheetProtection password="D19C" sheet="1"/>
  <mergeCells count="384">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tabSelected="1" view="pageBreakPreview" topLeftCell="R2" zoomScaleNormal="100" zoomScaleSheetLayoutView="100" workbookViewId="0">
      <selection activeCell="T19" sqref="T1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Schlüssel!$BU$1</f>
        <v>16.03.</v>
      </c>
      <c r="N1" s="366"/>
      <c r="O1" s="366"/>
      <c r="P1" s="368"/>
      <c r="Q1" s="368"/>
      <c r="R1" s="368"/>
      <c r="S1" s="7" t="s">
        <v>1798</v>
      </c>
      <c r="T1" s="25"/>
      <c r="U1" s="30" t="s">
        <v>1782</v>
      </c>
      <c r="V1" s="76" t="str">
        <f>Schlüssel!$C$1</f>
        <v>Landesliga Nord Frauen</v>
      </c>
      <c r="X1" s="25"/>
      <c r="Y1" s="25"/>
      <c r="Z1" s="25"/>
      <c r="AA1" s="25"/>
      <c r="AC1" s="29"/>
      <c r="AD1" s="353" t="str">
        <f>Schlüssel!$BU$1</f>
        <v>16.03.</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11</v>
      </c>
      <c r="Y4" s="192" t="s">
        <v>10</v>
      </c>
      <c r="Z4" s="190">
        <f>VLOOKUP(S2,Schlüssel!$A$5:$DF$10,75)</f>
        <v>12</v>
      </c>
      <c r="AA4" s="192" t="s">
        <v>10</v>
      </c>
      <c r="AB4" s="190">
        <f>VLOOKUP(S2,Schlüssel!$A$5:$DF$10,76)</f>
        <v>11</v>
      </c>
      <c r="AC4" s="192" t="s">
        <v>10</v>
      </c>
      <c r="AD4" s="191">
        <f>VLOOKUP(S2,Schlüssel!$A$5:$DF$10,77)</f>
        <v>12</v>
      </c>
      <c r="AE4" s="192" t="s">
        <v>10</v>
      </c>
      <c r="AF4" s="191">
        <f>VLOOKUP(S2,Schlüssel!$A$5:$DF$10,78)</f>
        <v>11</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t="str">
        <f>IF(U7=0,"",U7)</f>
        <v/>
      </c>
      <c r="E7" s="350">
        <f>IF(V7="","",V7)</f>
        <v>0</v>
      </c>
      <c r="F7" s="14" t="str">
        <f t="shared" ref="F7:F20" si="0">IF(W7=0,"",W7)</f>
        <v/>
      </c>
      <c r="G7" s="350">
        <f>IF(X7="","",X7)</f>
        <v>0</v>
      </c>
      <c r="H7" s="14" t="str">
        <f t="shared" ref="H7:H20" si="1">IF(Y7=0,"",Y7)</f>
        <v/>
      </c>
      <c r="I7" s="350">
        <f>IF(Z7="","",Z7)</f>
        <v>0</v>
      </c>
      <c r="J7" s="14" t="str">
        <f t="shared" ref="J7:J20" si="2">IF(AA7=0,"",AA7)</f>
        <v/>
      </c>
      <c r="K7" s="350">
        <f>IF(AB7="","",AB7)</f>
        <v>0</v>
      </c>
      <c r="L7" s="14" t="str">
        <f t="shared" ref="L7:L20" si="3">IF(AC7=0,"",AC7)</f>
        <v/>
      </c>
      <c r="M7" s="350">
        <f>IF(AD7="","",AD7)</f>
        <v>0</v>
      </c>
      <c r="N7" s="14" t="str">
        <f t="shared" ref="N7:N20" si="4">IF(AG7=0,"",AG7)</f>
        <v/>
      </c>
      <c r="O7" s="350">
        <f>IF(AH7="","",AH7)</f>
        <v>0</v>
      </c>
      <c r="R7" s="357"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48</v>
      </c>
      <c r="BT7" s="223">
        <f>SUMIF(BH7:BM7,"&gt;0")</f>
        <v>0</v>
      </c>
      <c r="BU7" s="223">
        <f>IF(COUNTIF(BH7:BM7,"&gt;0")&lt;Spielorte!$A$23,0,BE7/Spielorte!$A$23)</f>
        <v>0</v>
      </c>
      <c r="BV7" s="223">
        <f>IF(BU7&lt;MAX(BU:BU),0,BU7+ROW()/1000000000)</f>
        <v>6.9999999999999998E-9</v>
      </c>
      <c r="BW7" s="222">
        <f>IF(BV7=0,0,RANK(BV7,BV:BV))</f>
        <v>48</v>
      </c>
    </row>
    <row r="8" spans="1:75" ht="17.100000000000001" customHeight="1" x14ac:dyDescent="0.25">
      <c r="A8" s="372"/>
      <c r="B8" s="19" t="str">
        <f t="shared" ref="B8:D20" si="19">IF(S8=0,"",S8)</f>
        <v/>
      </c>
      <c r="C8" s="20" t="str">
        <f t="shared" si="19"/>
        <v/>
      </c>
      <c r="D8" s="15" t="str">
        <f t="shared" si="19"/>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0">+BR7</f>
        <v>Kleeblatt Fürth</v>
      </c>
      <c r="BS8" s="222">
        <f t="shared" si="18"/>
        <v>47</v>
      </c>
      <c r="BT8" s="223">
        <f t="shared" ref="BT8:BT18" si="21">SUMIF(BH8:BM8,"&gt;0")</f>
        <v>0</v>
      </c>
      <c r="BU8" s="223">
        <f>IF(COUNTIF(BH8:BM8,"&gt;0")&lt;Spielorte!$A$23,0,BE8/Spielorte!$A$23)</f>
        <v>0</v>
      </c>
      <c r="BV8" s="223">
        <f t="shared" ref="BV8:BV18" si="22">IF(BU8&lt;MAX(BU:BU),0,BU8+ROW()/1000000000)</f>
        <v>8.0000000000000005E-9</v>
      </c>
      <c r="BW8" s="222">
        <f t="shared" ref="BW8:BW18" si="23">IF(BV8=0,0,RANK(BV8,BV:BV))</f>
        <v>47</v>
      </c>
    </row>
    <row r="9" spans="1:75" ht="17.100000000000001" customHeight="1" thickBot="1" x14ac:dyDescent="0.3">
      <c r="A9" s="373"/>
      <c r="B9" s="21" t="str">
        <f t="shared" si="19"/>
        <v/>
      </c>
      <c r="C9" s="22" t="str">
        <f t="shared" si="19"/>
        <v/>
      </c>
      <c r="D9" s="9" t="str">
        <f t="shared" si="19"/>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0"/>
        <v>Kleeblatt Fürth</v>
      </c>
      <c r="BS9" s="222">
        <f t="shared" si="18"/>
        <v>46</v>
      </c>
      <c r="BT9" s="223">
        <f t="shared" si="21"/>
        <v>0</v>
      </c>
      <c r="BU9" s="223">
        <f>IF(COUNTIF(BH9:BM9,"&gt;0")&lt;Spielorte!$A$23,0,BE9/Spielorte!$A$23)</f>
        <v>0</v>
      </c>
      <c r="BV9" s="223">
        <f t="shared" si="22"/>
        <v>8.9999999999999995E-9</v>
      </c>
      <c r="BW9" s="222">
        <f t="shared" si="23"/>
        <v>46</v>
      </c>
    </row>
    <row r="10" spans="1:75" ht="17.100000000000001" customHeight="1" x14ac:dyDescent="0.25">
      <c r="A10" s="371" t="s">
        <v>2</v>
      </c>
      <c r="B10" s="17" t="str">
        <f t="shared" si="19"/>
        <v/>
      </c>
      <c r="C10" s="18" t="str">
        <f t="shared" si="19"/>
        <v/>
      </c>
      <c r="D10" s="14" t="str">
        <f t="shared" si="19"/>
        <v/>
      </c>
      <c r="E10" s="350">
        <f>IF(V10="","",V10)</f>
        <v>0</v>
      </c>
      <c r="F10" s="14" t="str">
        <f t="shared" si="0"/>
        <v/>
      </c>
      <c r="G10" s="350">
        <f>IF(X10="","",X10)</f>
        <v>0</v>
      </c>
      <c r="H10" s="14" t="str">
        <f t="shared" si="1"/>
        <v/>
      </c>
      <c r="I10" s="350">
        <f>IF(Z10="","",Z10)</f>
        <v>0</v>
      </c>
      <c r="J10" s="14" t="str">
        <f t="shared" si="2"/>
        <v/>
      </c>
      <c r="K10" s="350">
        <f>IF(AB10="","",AB10)</f>
        <v>0</v>
      </c>
      <c r="L10" s="14" t="str">
        <f t="shared" si="3"/>
        <v/>
      </c>
      <c r="M10" s="350">
        <f>IF(AD10="","",AD10)</f>
        <v>0</v>
      </c>
      <c r="N10" s="14" t="str">
        <f t="shared" si="4"/>
        <v/>
      </c>
      <c r="O10" s="350">
        <f>IF(AH10="","",AH10)</f>
        <v>0</v>
      </c>
      <c r="R10" s="357"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0"/>
        <v>Kleeblatt Fürth</v>
      </c>
      <c r="BS10" s="222">
        <f t="shared" si="18"/>
        <v>45</v>
      </c>
      <c r="BT10" s="223">
        <f t="shared" si="21"/>
        <v>0</v>
      </c>
      <c r="BU10" s="223">
        <f>IF(COUNTIF(BH10:BM10,"&gt;0")&lt;Spielorte!$A$23,0,BE10/Spielorte!$A$23)</f>
        <v>0</v>
      </c>
      <c r="BV10" s="223">
        <f t="shared" si="22"/>
        <v>1E-8</v>
      </c>
      <c r="BW10" s="222">
        <f t="shared" si="23"/>
        <v>45</v>
      </c>
    </row>
    <row r="11" spans="1:75" ht="17.100000000000001" customHeight="1" x14ac:dyDescent="0.25">
      <c r="A11" s="372"/>
      <c r="B11" s="19" t="str">
        <f t="shared" si="19"/>
        <v/>
      </c>
      <c r="C11" s="20" t="str">
        <f t="shared" si="19"/>
        <v/>
      </c>
      <c r="D11" s="15" t="str">
        <f t="shared" si="19"/>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0"/>
        <v>Kleeblatt Fürth</v>
      </c>
      <c r="BS11" s="222">
        <f t="shared" si="18"/>
        <v>44</v>
      </c>
      <c r="BT11" s="223">
        <f t="shared" si="21"/>
        <v>0</v>
      </c>
      <c r="BU11" s="223">
        <f>IF(COUNTIF(BH11:BM11,"&gt;0")&lt;Spielorte!$A$23,0,BE11/Spielorte!$A$23)</f>
        <v>0</v>
      </c>
      <c r="BV11" s="223">
        <f t="shared" si="22"/>
        <v>1.0999999999999999E-8</v>
      </c>
      <c r="BW11" s="222">
        <f t="shared" si="23"/>
        <v>44</v>
      </c>
    </row>
    <row r="12" spans="1:75" ht="17.100000000000001" customHeight="1" thickBot="1" x14ac:dyDescent="0.3">
      <c r="A12" s="373"/>
      <c r="B12" s="21" t="str">
        <f t="shared" si="19"/>
        <v/>
      </c>
      <c r="C12" s="22" t="str">
        <f t="shared" si="19"/>
        <v/>
      </c>
      <c r="D12" s="9" t="str">
        <f t="shared" si="19"/>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0"/>
        <v>Kleeblatt Fürth</v>
      </c>
      <c r="BS12" s="222">
        <f t="shared" si="18"/>
        <v>43</v>
      </c>
      <c r="BT12" s="223">
        <f t="shared" si="21"/>
        <v>0</v>
      </c>
      <c r="BU12" s="223">
        <f>IF(COUNTIF(BH12:BM12,"&gt;0")&lt;Spielorte!$A$23,0,BE12/Spielorte!$A$23)</f>
        <v>0</v>
      </c>
      <c r="BV12" s="223">
        <f t="shared" si="22"/>
        <v>1.2E-8</v>
      </c>
      <c r="BW12" s="222">
        <f t="shared" si="23"/>
        <v>43</v>
      </c>
    </row>
    <row r="13" spans="1:75" ht="17.100000000000001" customHeight="1" x14ac:dyDescent="0.25">
      <c r="A13" s="371" t="s">
        <v>3</v>
      </c>
      <c r="B13" s="17" t="str">
        <f t="shared" si="19"/>
        <v/>
      </c>
      <c r="C13" s="18" t="str">
        <f t="shared" si="19"/>
        <v/>
      </c>
      <c r="D13" s="14" t="str">
        <f t="shared" si="19"/>
        <v/>
      </c>
      <c r="E13" s="350">
        <f>IF(V13="","",V13)</f>
        <v>0</v>
      </c>
      <c r="F13" s="14" t="str">
        <f t="shared" si="0"/>
        <v/>
      </c>
      <c r="G13" s="350">
        <f>IF(X13="","",X13)</f>
        <v>0</v>
      </c>
      <c r="H13" s="14" t="str">
        <f t="shared" si="1"/>
        <v/>
      </c>
      <c r="I13" s="350">
        <f>IF(Z13="","",Z13)</f>
        <v>0</v>
      </c>
      <c r="J13" s="14" t="str">
        <f t="shared" si="2"/>
        <v/>
      </c>
      <c r="K13" s="350">
        <f>IF(AB13="","",AB13)</f>
        <v>0</v>
      </c>
      <c r="L13" s="14" t="str">
        <f t="shared" si="3"/>
        <v/>
      </c>
      <c r="M13" s="350">
        <f>IF(AD13="","",AD13)</f>
        <v>0</v>
      </c>
      <c r="N13" s="14" t="str">
        <f t="shared" si="4"/>
        <v/>
      </c>
      <c r="O13" s="350">
        <f>IF(AH13="","",AH13)</f>
        <v>0</v>
      </c>
      <c r="R13" s="357"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0"/>
        <v>Kleeblatt Fürth</v>
      </c>
      <c r="BS13" s="222">
        <f t="shared" si="18"/>
        <v>42</v>
      </c>
      <c r="BT13" s="223">
        <f t="shared" si="21"/>
        <v>0</v>
      </c>
      <c r="BU13" s="223">
        <f>IF(COUNTIF(BH13:BM13,"&gt;0")&lt;Spielorte!$A$23,0,BE13/Spielorte!$A$23)</f>
        <v>0</v>
      </c>
      <c r="BV13" s="223">
        <f t="shared" si="22"/>
        <v>1.3000000000000001E-8</v>
      </c>
      <c r="BW13" s="222">
        <f t="shared" si="23"/>
        <v>42</v>
      </c>
    </row>
    <row r="14" spans="1:75" ht="17.100000000000001" customHeight="1" x14ac:dyDescent="0.25">
      <c r="A14" s="372"/>
      <c r="B14" s="19" t="str">
        <f t="shared" si="19"/>
        <v/>
      </c>
      <c r="C14" s="20" t="str">
        <f t="shared" si="19"/>
        <v/>
      </c>
      <c r="D14" s="15" t="str">
        <f t="shared" si="19"/>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0"/>
        <v>Kleeblatt Fürth</v>
      </c>
      <c r="BS14" s="222">
        <f t="shared" si="18"/>
        <v>41</v>
      </c>
      <c r="BT14" s="223">
        <f t="shared" si="21"/>
        <v>0</v>
      </c>
      <c r="BU14" s="223">
        <f>IF(COUNTIF(BH14:BM14,"&gt;0")&lt;Spielorte!$A$23,0,BE14/Spielorte!$A$23)</f>
        <v>0</v>
      </c>
      <c r="BV14" s="223">
        <f t="shared" si="22"/>
        <v>1.4E-8</v>
      </c>
      <c r="BW14" s="222">
        <f t="shared" si="23"/>
        <v>41</v>
      </c>
    </row>
    <row r="15" spans="1:75" ht="17.100000000000001" customHeight="1" thickBot="1" x14ac:dyDescent="0.3">
      <c r="A15" s="373"/>
      <c r="B15" s="21" t="str">
        <f t="shared" si="19"/>
        <v/>
      </c>
      <c r="C15" s="22" t="str">
        <f t="shared" si="19"/>
        <v/>
      </c>
      <c r="D15" s="9" t="str">
        <f t="shared" si="19"/>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0"/>
        <v>Kleeblatt Fürth</v>
      </c>
      <c r="BS15" s="222">
        <f t="shared" si="18"/>
        <v>40</v>
      </c>
      <c r="BT15" s="223">
        <f t="shared" si="21"/>
        <v>0</v>
      </c>
      <c r="BU15" s="223">
        <f>IF(COUNTIF(BH15:BM15,"&gt;0")&lt;Spielorte!$A$23,0,BE15/Spielorte!$A$23)</f>
        <v>0</v>
      </c>
      <c r="BV15" s="223">
        <f t="shared" si="22"/>
        <v>1.4999999999999999E-8</v>
      </c>
      <c r="BW15" s="222">
        <f t="shared" si="23"/>
        <v>40</v>
      </c>
    </row>
    <row r="16" spans="1:75" ht="17.100000000000001" customHeight="1" x14ac:dyDescent="0.25">
      <c r="A16" s="371" t="s">
        <v>11</v>
      </c>
      <c r="B16" s="17" t="str">
        <f>IF(S16=0,"",S16)</f>
        <v/>
      </c>
      <c r="C16" s="18" t="str">
        <f t="shared" si="19"/>
        <v/>
      </c>
      <c r="D16" s="14" t="str">
        <f t="shared" si="19"/>
        <v/>
      </c>
      <c r="E16" s="350">
        <f>IF(V16="","",V16)</f>
        <v>0</v>
      </c>
      <c r="F16" s="14" t="str">
        <f t="shared" si="0"/>
        <v/>
      </c>
      <c r="G16" s="350">
        <f>IF(X16="","",X16)</f>
        <v>0</v>
      </c>
      <c r="H16" s="14" t="str">
        <f t="shared" si="1"/>
        <v/>
      </c>
      <c r="I16" s="350">
        <f>IF(Z16="","",Z16)</f>
        <v>0</v>
      </c>
      <c r="J16" s="14" t="str">
        <f t="shared" si="2"/>
        <v/>
      </c>
      <c r="K16" s="350">
        <f>IF(AB16="","",AB16)</f>
        <v>0</v>
      </c>
      <c r="L16" s="14" t="str">
        <f t="shared" si="3"/>
        <v/>
      </c>
      <c r="M16" s="350">
        <f>IF(AD16="","",AD16)</f>
        <v>0</v>
      </c>
      <c r="N16" s="14" t="str">
        <f t="shared" si="4"/>
        <v/>
      </c>
      <c r="O16" s="350">
        <f>IF(AH16="","",AH16)</f>
        <v>0</v>
      </c>
      <c r="R16" s="357"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0"/>
        <v>Kleeblatt Fürth</v>
      </c>
      <c r="BS16" s="222">
        <f t="shared" si="18"/>
        <v>39</v>
      </c>
      <c r="BT16" s="223">
        <f t="shared" si="21"/>
        <v>0</v>
      </c>
      <c r="BU16" s="223">
        <f>IF(COUNTIF(BH16:BM16,"&gt;0")&lt;Spielorte!$A$23,0,BE16/Spielorte!$A$23)</f>
        <v>0</v>
      </c>
      <c r="BV16" s="223">
        <f t="shared" si="22"/>
        <v>1.6000000000000001E-8</v>
      </c>
      <c r="BW16" s="222">
        <f t="shared" si="23"/>
        <v>39</v>
      </c>
    </row>
    <row r="17" spans="1:75" ht="17.100000000000001" customHeight="1" x14ac:dyDescent="0.25">
      <c r="A17" s="372"/>
      <c r="B17" s="19" t="str">
        <f>IF(S17=0,"",S17)</f>
        <v/>
      </c>
      <c r="C17" s="20" t="str">
        <f t="shared" si="19"/>
        <v/>
      </c>
      <c r="D17" s="15" t="str">
        <f t="shared" si="19"/>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0"/>
        <v>Kleeblatt Fürth</v>
      </c>
      <c r="BS17" s="222">
        <f t="shared" si="18"/>
        <v>38</v>
      </c>
      <c r="BT17" s="223">
        <f t="shared" si="21"/>
        <v>0</v>
      </c>
      <c r="BU17" s="223">
        <f>IF(COUNTIF(BH17:BM17,"&gt;0")&lt;Spielorte!$A$23,0,BE17/Spielorte!$A$23)</f>
        <v>0</v>
      </c>
      <c r="BV17" s="223">
        <f t="shared" si="22"/>
        <v>1.7E-8</v>
      </c>
      <c r="BW17" s="222">
        <f t="shared" si="23"/>
        <v>38</v>
      </c>
    </row>
    <row r="18" spans="1:75" ht="17.100000000000001" customHeight="1" thickBot="1" x14ac:dyDescent="0.3">
      <c r="A18" s="373"/>
      <c r="B18" s="21" t="str">
        <f>IF(S18=0,"",S18)</f>
        <v/>
      </c>
      <c r="C18" s="22" t="str">
        <f t="shared" si="19"/>
        <v/>
      </c>
      <c r="D18" s="9" t="str">
        <f t="shared" si="19"/>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0"/>
        <v>Kleeblatt Fürth</v>
      </c>
      <c r="BS18" s="222">
        <f t="shared" si="18"/>
        <v>37</v>
      </c>
      <c r="BT18" s="223">
        <f t="shared" si="21"/>
        <v>0</v>
      </c>
      <c r="BU18" s="223">
        <f>IF(COUNTIF(BH18:BM18,"&gt;0")&lt;Spielorte!$A$23,0,BE18/Spielorte!$A$23)</f>
        <v>0</v>
      </c>
      <c r="BV18" s="223">
        <f t="shared" si="22"/>
        <v>1.7999999999999999E-8</v>
      </c>
      <c r="BW18" s="222">
        <f t="shared" si="23"/>
        <v>37</v>
      </c>
    </row>
    <row r="19" spans="1:75" ht="27.75" customHeight="1" thickBot="1" x14ac:dyDescent="0.3">
      <c r="B19" s="11" t="str">
        <f>IF(S19=0,"",S19)</f>
        <v>Gesamt</v>
      </c>
      <c r="C19" s="26" t="str">
        <f t="shared" si="19"/>
        <v/>
      </c>
      <c r="D19" s="16" t="str">
        <f t="shared" si="19"/>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2</v>
      </c>
      <c r="E22" s="363" t="str">
        <f t="shared" si="24"/>
        <v/>
      </c>
      <c r="F22" s="363">
        <f t="shared" si="24"/>
        <v>2</v>
      </c>
      <c r="G22" s="363" t="str">
        <f t="shared" si="24"/>
        <v/>
      </c>
      <c r="H22" s="363">
        <f t="shared" si="24"/>
        <v>2</v>
      </c>
      <c r="I22" s="363" t="str">
        <f t="shared" si="24"/>
        <v/>
      </c>
      <c r="J22" s="363">
        <f t="shared" si="24"/>
        <v>2</v>
      </c>
      <c r="K22" s="363" t="str">
        <f t="shared" si="24"/>
        <v/>
      </c>
      <c r="L22" s="363">
        <f t="shared" si="24"/>
        <v>2</v>
      </c>
      <c r="M22" s="363" t="str">
        <f t="shared" si="24"/>
        <v/>
      </c>
      <c r="N22" s="364"/>
      <c r="O22" s="364"/>
      <c r="S22" s="13" t="s">
        <v>1786</v>
      </c>
      <c r="T22" s="5" t="s">
        <v>1787</v>
      </c>
      <c r="U22" s="369">
        <f>VLOOKUP($S2,Schlüssel!$A$5:$CX$10,63)</f>
        <v>2</v>
      </c>
      <c r="V22" s="370"/>
      <c r="W22" s="369">
        <f>VLOOKUP($S2,Schlüssel!$A$5:$DQ$10,64)</f>
        <v>2</v>
      </c>
      <c r="X22" s="370"/>
      <c r="Y22" s="369">
        <f>VLOOKUP($S2,Schlüssel!$A$5:$DQ$10,65)</f>
        <v>2</v>
      </c>
      <c r="Z22" s="370"/>
      <c r="AA22" s="369">
        <f>VLOOKUP($S2,Schlüssel!$A$5:$DQ$10,66)</f>
        <v>2</v>
      </c>
      <c r="AB22" s="370"/>
      <c r="AC22" s="369">
        <f>VLOOKUP($S2,Schlüssel!$A$5:$DQ$10,67)</f>
        <v>2</v>
      </c>
      <c r="AD22" s="370"/>
      <c r="AE22" s="369">
        <f>VLOOKUP($S2,Schlüssel!$A$5:$DQ$10,68)</f>
        <v>2</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BC Phönix Lauf</v>
      </c>
      <c r="E23" s="361" t="str">
        <f t="shared" si="25"/>
        <v/>
      </c>
      <c r="F23" s="360" t="str">
        <f t="shared" si="25"/>
        <v>BC Phönix Lauf</v>
      </c>
      <c r="G23" s="361" t="str">
        <f t="shared" si="25"/>
        <v/>
      </c>
      <c r="H23" s="360" t="str">
        <f t="shared" si="25"/>
        <v>BC Phönix Lauf</v>
      </c>
      <c r="I23" s="361" t="str">
        <f t="shared" si="25"/>
        <v/>
      </c>
      <c r="J23" s="360" t="str">
        <f t="shared" si="25"/>
        <v>BC Phönix Lauf</v>
      </c>
      <c r="K23" s="361" t="str">
        <f t="shared" si="25"/>
        <v/>
      </c>
      <c r="L23" s="360" t="str">
        <f>IF(AC23=0,"",AC23)</f>
        <v>BC Phönix Lauf</v>
      </c>
      <c r="M23" s="361" t="str">
        <f>IF(AD23=0,"",AD23)</f>
        <v/>
      </c>
      <c r="N23" s="362"/>
      <c r="O23" s="362"/>
      <c r="S23" s="4"/>
      <c r="T23" s="1"/>
      <c r="U23" s="360" t="str">
        <f>VLOOKUP(U22,Schlüssel!$A$5:$K$10,2)</f>
        <v>BC Phönix Lauf</v>
      </c>
      <c r="V23" s="361"/>
      <c r="W23" s="360" t="str">
        <f>VLOOKUP(W22,Schlüssel!$A$5:$K$10,2)</f>
        <v>BC Phönix Lauf</v>
      </c>
      <c r="X23" s="361"/>
      <c r="Y23" s="360" t="str">
        <f>VLOOKUP(Y22,Schlüssel!$A$5:$K$10,2)</f>
        <v>BC Phönix Lauf</v>
      </c>
      <c r="Z23" s="361"/>
      <c r="AA23" s="360" t="str">
        <f>VLOOKUP(AA22,Schlüssel!$A$5:$K$10,2)</f>
        <v>BC Phönix Lauf</v>
      </c>
      <c r="AB23" s="361"/>
      <c r="AC23" s="360" t="str">
        <f>VLOOKUP(AC22,Schlüssel!$A$5:$K$10,2)</f>
        <v>BC Phönix Lauf</v>
      </c>
      <c r="AD23" s="361"/>
      <c r="AE23" s="360" t="str">
        <f>VLOOKUP(AE22,Schlüssel!$A$5:$K$10,2)</f>
        <v>BC Phönix Lauf</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0</v>
      </c>
      <c r="E25" s="346" t="str">
        <f>IF(V25=0,"",V25)</f>
        <v/>
      </c>
      <c r="F25" s="346">
        <f>IF(W25=301,"",W25)</f>
        <v>0</v>
      </c>
      <c r="G25" s="346" t="str">
        <f>IF(X25=0,"",X25)</f>
        <v/>
      </c>
      <c r="H25" s="346">
        <f>IF(Y25=301,"",Y25)</f>
        <v>0</v>
      </c>
      <c r="I25" s="346" t="str">
        <f>IF(Z25=0,"",Z25)</f>
        <v/>
      </c>
      <c r="J25" s="346">
        <f>IF(AA25=301,"",AA25)</f>
        <v>0</v>
      </c>
      <c r="K25" s="346" t="str">
        <f>IF(AB25=0,"",AB25)</f>
        <v/>
      </c>
      <c r="L25" s="346">
        <f>IF(AC25=301,"",AC25)</f>
        <v>0</v>
      </c>
      <c r="M25" s="346" t="str">
        <f>IF(AD25=0,"",AD25)</f>
        <v/>
      </c>
      <c r="N25" s="354"/>
      <c r="O25" s="354"/>
      <c r="S25" s="35" t="s">
        <v>0</v>
      </c>
      <c r="T25" s="36"/>
      <c r="U25" s="374">
        <f>ABS(INDEX(U:U,MATCH(U22,$S:$S,0)+5)+INDEX(U:U,MATCH(U22,$S:$S,0)+6)+INDEX(U:U,MATCH(U22,$S:$S,0)+7))</f>
        <v>0</v>
      </c>
      <c r="V25" s="375"/>
      <c r="W25" s="374">
        <f>ABS(INDEX(W:W,MATCH(W22,$S:$S,0)+5)+INDEX(W:W,MATCH(W22,$S:$S,0)+6)+INDEX(W:W,MATCH(W22,$S:$S,0)+7))</f>
        <v>0</v>
      </c>
      <c r="X25" s="375"/>
      <c r="Y25" s="374">
        <f>ABS(INDEX(Y:Y,MATCH(Y22,$S:$S,0)+5)+INDEX(Y:Y,MATCH(Y22,$S:$S,0)+6)+INDEX(Y:Y,MATCH(Y22,$S:$S,0)+7))</f>
        <v>0</v>
      </c>
      <c r="Z25" s="375"/>
      <c r="AA25" s="374">
        <f>ABS(INDEX(AA:AA,MATCH(AA22,$S:$S,0)+5)+INDEX(AA:AA,MATCH(AA22,$S:$S,0)+6)+INDEX(AA:AA,MATCH(AA22,$S:$S,0)+7))</f>
        <v>0</v>
      </c>
      <c r="AB25" s="375"/>
      <c r="AC25" s="374">
        <f>ABS(INDEX(AC:AC,MATCH(AC22,$S:$S,0)+5)+INDEX(AC:AC,MATCH(AC22,$S:$S,0)+6)+INDEX(AC:AC,MATCH(AC22,$S:$S,0)+7))</f>
        <v>0</v>
      </c>
      <c r="AD25" s="375"/>
      <c r="AE25" s="374">
        <f>ABS(INDEX(AE:AE,MATCH(AE22,$S:$S,0)+5)+INDEX(AE:AE,MATCH(AE22,$S:$S,0)+6)+INDEX(AE:AE,MATCH(AE22,$S:$S,0)+7))</f>
        <v>0</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0</v>
      </c>
      <c r="E26" s="346" t="str">
        <f>IF(V26=0,"",V26)</f>
        <v/>
      </c>
      <c r="F26" s="346">
        <f>IF(W26=301,"",W26)</f>
        <v>0</v>
      </c>
      <c r="G26" s="346" t="str">
        <f>IF(X26=0,"",X26)</f>
        <v/>
      </c>
      <c r="H26" s="346">
        <f>IF(Y26=301,"",Y26)</f>
        <v>0</v>
      </c>
      <c r="I26" s="346" t="str">
        <f>IF(Z26=0,"",Z26)</f>
        <v/>
      </c>
      <c r="J26" s="346">
        <f>IF(AA26=301,"",AA26)</f>
        <v>0</v>
      </c>
      <c r="K26" s="346" t="str">
        <f>IF(AB26=0,"",AB26)</f>
        <v/>
      </c>
      <c r="L26" s="346">
        <f>IF(AC26=301,"",AC26)</f>
        <v>0</v>
      </c>
      <c r="M26" s="346" t="str">
        <f>IF(AD26=0,"",AD26)</f>
        <v/>
      </c>
      <c r="N26" s="354"/>
      <c r="O26" s="354"/>
      <c r="S26" s="35" t="s">
        <v>2</v>
      </c>
      <c r="T26" s="36"/>
      <c r="U26" s="376">
        <f>ABS(INDEX(U:U,MATCH(U22,$S:$S,0)+8)+INDEX(U:U,MATCH(U22,$S:$S,0)+9)+INDEX(U:U,MATCH(U22,$S:$S,0)+10))</f>
        <v>0</v>
      </c>
      <c r="V26" s="377"/>
      <c r="W26" s="376">
        <f>ABS(INDEX(W:W,MATCH(W22,$S:$S,0)+8)+INDEX(W:W,MATCH(W22,$S:$S,0)+9)+INDEX(W:W,MATCH(W22,$S:$S,0)+10))</f>
        <v>0</v>
      </c>
      <c r="X26" s="377"/>
      <c r="Y26" s="376">
        <f>ABS(INDEX(Y:Y,MATCH(Y22,$S:$S,0)+8)+INDEX(Y:Y,MATCH(Y22,$S:$S,0)+9)+INDEX(Y:Y,MATCH(Y22,$S:$S,0)+10))</f>
        <v>0</v>
      </c>
      <c r="Z26" s="377"/>
      <c r="AA26" s="376">
        <f>ABS(INDEX(AA:AA,MATCH(AA22,$S:$S,0)+8)+INDEX(AA:AA,MATCH(AA22,$S:$S,0)+9)+INDEX(AA:AA,MATCH(AA22,$S:$S,0)+10))</f>
        <v>0</v>
      </c>
      <c r="AB26" s="377"/>
      <c r="AC26" s="376">
        <f>ABS(INDEX(AC:AC,MATCH(AC22,$S:$S,0)+8)+INDEX(AC:AC,MATCH(AC22,$S:$S,0)+9)+INDEX(AC:AC,MATCH(AC22,$S:$S,0)+10))</f>
        <v>0</v>
      </c>
      <c r="AD26" s="377"/>
      <c r="AE26" s="376">
        <f>ABS(INDEX(AE:AE,MATCH(AE22,$S:$S,0)+8)+INDEX(AE:AE,MATCH(AE22,$S:$S,0)+9)+INDEX(AE:AE,MATCH(AE22,$S:$S,0)+10))</f>
        <v>0</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0</v>
      </c>
      <c r="E27" s="346" t="str">
        <f>IF(V27=0,"",V27)</f>
        <v/>
      </c>
      <c r="F27" s="346">
        <f>IF(W27=301,"",W27)</f>
        <v>0</v>
      </c>
      <c r="G27" s="346" t="str">
        <f>IF(X27=0,"",X27)</f>
        <v/>
      </c>
      <c r="H27" s="346">
        <f>IF(Y27=301,"",Y27)</f>
        <v>0</v>
      </c>
      <c r="I27" s="346" t="str">
        <f>IF(Z27=0,"",Z27)</f>
        <v/>
      </c>
      <c r="J27" s="346">
        <f>IF(AA27=301,"",AA27)</f>
        <v>0</v>
      </c>
      <c r="K27" s="346" t="str">
        <f>IF(AB27=0,"",AB27)</f>
        <v/>
      </c>
      <c r="L27" s="346">
        <f>IF(AC27=301,"",AC27)</f>
        <v>0</v>
      </c>
      <c r="M27" s="346" t="str">
        <f>IF(AD27=0,"",AD27)</f>
        <v/>
      </c>
      <c r="N27" s="354"/>
      <c r="O27" s="354"/>
      <c r="S27" s="35" t="s">
        <v>3</v>
      </c>
      <c r="T27" s="36"/>
      <c r="U27" s="376">
        <f>ABS(INDEX(U:U,MATCH(U22,$S:$S,0)+11)+INDEX(U:U,MATCH(U22,$S:$S,0)+12)+INDEX(U:U,MATCH(U22,$S:$S,0)+13))</f>
        <v>0</v>
      </c>
      <c r="V27" s="377"/>
      <c r="W27" s="376">
        <f>ABS(INDEX(W:W,MATCH(W22,$S:$S,0)+11)+INDEX(W:W,MATCH(W22,$S:$S,0)+12)+INDEX(W:W,MATCH(W22,$S:$S,0)+13))</f>
        <v>0</v>
      </c>
      <c r="X27" s="377"/>
      <c r="Y27" s="376">
        <f>ABS(INDEX(Y:Y,MATCH(Y22,$S:$S,0)+11)+INDEX(Y:Y,MATCH(Y22,$S:$S,0)+12)+INDEX(Y:Y,MATCH(Y22,$S:$S,0)+13))</f>
        <v>0</v>
      </c>
      <c r="Z27" s="377"/>
      <c r="AA27" s="376">
        <f>ABS(INDEX(AA:AA,MATCH(AA22,$S:$S,0)+11)+INDEX(AA:AA,MATCH(AA22,$S:$S,0)+12)+INDEX(AA:AA,MATCH(AA22,$S:$S,0)+13))</f>
        <v>0</v>
      </c>
      <c r="AB27" s="377"/>
      <c r="AC27" s="376">
        <f>ABS(INDEX(AC:AC,MATCH(AC22,$S:$S,0)+11)+INDEX(AC:AC,MATCH(AC22,$S:$S,0)+12)+INDEX(AC:AC,MATCH(AC22,$S:$S,0)+13))</f>
        <v>0</v>
      </c>
      <c r="AD27" s="377"/>
      <c r="AE27" s="376">
        <f>ABS(INDEX(AE:AE,MATCH(AE22,$S:$S,0)+11)+INDEX(AE:AE,MATCH(AE22,$S:$S,0)+12)+INDEX(AE:AE,MATCH(AE22,$S:$S,0)+13))</f>
        <v>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0</v>
      </c>
      <c r="E28" s="346" t="str">
        <f>IF(V28=0,"",V28)</f>
        <v/>
      </c>
      <c r="F28" s="346">
        <f>IF(W28=301,"",W28)</f>
        <v>0</v>
      </c>
      <c r="G28" s="346" t="str">
        <f>IF(X28=0,"",X28)</f>
        <v/>
      </c>
      <c r="H28" s="346">
        <f>IF(Y28=301,"",Y28)</f>
        <v>0</v>
      </c>
      <c r="I28" s="346" t="str">
        <f>IF(Z28=0,"",Z28)</f>
        <v/>
      </c>
      <c r="J28" s="346">
        <f>IF(AA28=301,"",AA28)</f>
        <v>0</v>
      </c>
      <c r="K28" s="346" t="str">
        <f>IF(AB28=0,"",AB28)</f>
        <v/>
      </c>
      <c r="L28" s="346">
        <f>IF(AC28=301,"",AC28)</f>
        <v>0</v>
      </c>
      <c r="M28" s="346" t="str">
        <f>IF(AD28=0,"",AD28)</f>
        <v/>
      </c>
      <c r="N28" s="354"/>
      <c r="O28" s="354"/>
      <c r="S28" s="35" t="s">
        <v>11</v>
      </c>
      <c r="T28" s="36"/>
      <c r="U28" s="376">
        <f>ABS(INDEX(U:U,MATCH(U22,$S:$S,0)+14)+INDEX(U:U,MATCH(U22,$S:$S,0)+15)+INDEX(U:U,MATCH(U22,$S:$S,0)+16))</f>
        <v>0</v>
      </c>
      <c r="V28" s="377"/>
      <c r="W28" s="376">
        <f>ABS(INDEX(W:W,MATCH(W22,$S:$S,0)+14)+INDEX(W:W,MATCH(W22,$S:$S,0)+15)+INDEX(W:W,MATCH(W22,$S:$S,0)+16))</f>
        <v>0</v>
      </c>
      <c r="X28" s="377"/>
      <c r="Y28" s="376">
        <f>ABS(INDEX(Y:Y,MATCH(Y22,$S:$S,0)+14)+INDEX(Y:Y,MATCH(Y22,$S:$S,0)+15)+INDEX(Y:Y,MATCH(Y22,$S:$S,0)+16))</f>
        <v>0</v>
      </c>
      <c r="Z28" s="377"/>
      <c r="AA28" s="376">
        <f>ABS(INDEX(AA:AA,MATCH(AA22,$S:$S,0)+14)+INDEX(AA:AA,MATCH(AA22,$S:$S,0)+15)+INDEX(AA:AA,MATCH(AA22,$S:$S,0)+16))</f>
        <v>0</v>
      </c>
      <c r="AB28" s="377"/>
      <c r="AC28" s="376">
        <f>ABS(INDEX(AC:AC,MATCH(AC22,$S:$S,0)+14)+INDEX(AC:AC,MATCH(AC22,$S:$S,0)+15)+INDEX(AC:AC,MATCH(AC22,$S:$S,0)+16))</f>
        <v>0</v>
      </c>
      <c r="AD28" s="377"/>
      <c r="AE28" s="376">
        <f>ABS(INDEX(AE:AE,MATCH(AE22,$S:$S,0)+14)+INDEX(AE:AE,MATCH(AE22,$S:$S,0)+15)+INDEX(AE:AE,MATCH(AE22,$S:$S,0)+16))</f>
        <v>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0</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00"/>
      <c r="O29" s="300"/>
      <c r="S29" s="37" t="s">
        <v>1788</v>
      </c>
      <c r="T29" s="38"/>
      <c r="U29" s="348">
        <f>SUM(U25:U28)</f>
        <v>0</v>
      </c>
      <c r="V29" s="349"/>
      <c r="W29" s="348">
        <f>SUM(W25:W28)</f>
        <v>0</v>
      </c>
      <c r="X29" s="349"/>
      <c r="Y29" s="348">
        <f>SUM(Y25:Y28)</f>
        <v>0</v>
      </c>
      <c r="Z29" s="349"/>
      <c r="AA29" s="348">
        <f>SUM(AA25:AA28)</f>
        <v>0</v>
      </c>
      <c r="AB29" s="349"/>
      <c r="AC29" s="348">
        <f>SUM(AC25:AC28)</f>
        <v>0</v>
      </c>
      <c r="AD29" s="349"/>
      <c r="AE29" s="348">
        <f>SUM(AE25:AE28)</f>
        <v>0</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Schlüssel!$BU$1</f>
        <v>16.03.</v>
      </c>
      <c r="N31" s="366"/>
      <c r="O31" s="366"/>
      <c r="P31" s="368"/>
      <c r="Q31" s="368"/>
      <c r="R31" s="368"/>
      <c r="S31" s="7" t="s">
        <v>1798</v>
      </c>
      <c r="T31" s="25"/>
      <c r="U31" s="30" t="s">
        <v>1782</v>
      </c>
      <c r="V31" s="76" t="str">
        <f>Schlüssel!$C$1</f>
        <v>Landesliga Nord Frauen</v>
      </c>
      <c r="X31" s="25"/>
      <c r="Y31" s="25"/>
      <c r="Z31" s="25"/>
      <c r="AA31" s="25"/>
      <c r="AC31" s="29"/>
      <c r="AD31" s="353" t="str">
        <f>Schlüssel!$BU$1</f>
        <v>16.03.</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12</v>
      </c>
      <c r="Y34" s="192" t="s">
        <v>10</v>
      </c>
      <c r="Z34" s="190">
        <f>VLOOKUP(S32,Schlüssel!$A$5:$DF$10,75)</f>
        <v>11</v>
      </c>
      <c r="AA34" s="192" t="s">
        <v>10</v>
      </c>
      <c r="AB34" s="190">
        <f>VLOOKUP(S32,Schlüssel!$A$5:$DF$10,76)</f>
        <v>12</v>
      </c>
      <c r="AC34" s="192" t="s">
        <v>10</v>
      </c>
      <c r="AD34" s="191">
        <f>VLOOKUP(S32,Schlüssel!$A$5:$DF$10,77)</f>
        <v>11</v>
      </c>
      <c r="AE34" s="192" t="s">
        <v>10</v>
      </c>
      <c r="AF34" s="191">
        <f>VLOOKUP(S32,Schlüssel!$A$5:$DF$10,78)</f>
        <v>12</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f>IF(V37="","",V37)</f>
        <v>0</v>
      </c>
      <c r="F37" s="14" t="str">
        <f t="shared" ref="F37:F50" si="27">IF(W37=0,"",W37)</f>
        <v/>
      </c>
      <c r="G37" s="350">
        <f>IF(X37="","",X37)</f>
        <v>0</v>
      </c>
      <c r="H37" s="14" t="str">
        <f t="shared" ref="H37:H50" si="28">IF(Y37=0,"",Y37)</f>
        <v/>
      </c>
      <c r="I37" s="350">
        <f>IF(Z37="","",Z37)</f>
        <v>0</v>
      </c>
      <c r="J37" s="14" t="str">
        <f t="shared" ref="J37:J50" si="29">IF(AA37=0,"",AA37)</f>
        <v/>
      </c>
      <c r="K37" s="350">
        <f>IF(AB37="","",AB37)</f>
        <v>0</v>
      </c>
      <c r="L37" s="14" t="str">
        <f t="shared" ref="L37:L50" si="30">IF(AC37=0,"",AC37)</f>
        <v/>
      </c>
      <c r="M37" s="350">
        <f>IF(AD37="","",AD37)</f>
        <v>0</v>
      </c>
      <c r="N37" s="14" t="str">
        <f t="shared" ref="N37:N50" si="31">IF(AG37=0,"",AG37)</f>
        <v/>
      </c>
      <c r="O37" s="350">
        <f>IF(AH37="","",AH37)</f>
        <v>0</v>
      </c>
      <c r="R37" s="357"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36</v>
      </c>
      <c r="BT37" s="223">
        <f>SUMIF(BH37:BM37,"&gt;0")</f>
        <v>0</v>
      </c>
      <c r="BU37" s="223">
        <f>IF(COUNTIF(BH37:BM37,"&gt;0")&lt;Spielorte!$A$23,0,BE37/Spielorte!$A$23)</f>
        <v>0</v>
      </c>
      <c r="BV37" s="223">
        <f>IF(BU37&lt;MAX(BU:BU),0,BU37+ROW()/1000000000)</f>
        <v>3.7E-8</v>
      </c>
      <c r="BW37" s="222">
        <f>IF(BV37=0,0,RANK(BV37,BV:BV))</f>
        <v>36</v>
      </c>
    </row>
    <row r="38" spans="1:75" ht="17.100000000000001" customHeight="1" x14ac:dyDescent="0.25">
      <c r="A38" s="372"/>
      <c r="B38" s="19" t="str">
        <f t="shared" ref="B38:D50" si="46">IF(S38=0,"",S38)</f>
        <v/>
      </c>
      <c r="C38" s="20" t="str">
        <f t="shared" si="46"/>
        <v/>
      </c>
      <c r="D38" s="15" t="str">
        <f t="shared" si="46"/>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7">+BR37</f>
        <v>BC Phönix Lauf</v>
      </c>
      <c r="BS38" s="222">
        <f t="shared" si="45"/>
        <v>35</v>
      </c>
      <c r="BT38" s="223">
        <f t="shared" ref="BT38:BT48" si="48">SUMIF(BH38:BM38,"&gt;0")</f>
        <v>0</v>
      </c>
      <c r="BU38" s="223">
        <f>IF(COUNTIF(BH38:BM38,"&gt;0")&lt;Spielorte!$A$23,0,BE38/Spielorte!$A$23)</f>
        <v>0</v>
      </c>
      <c r="BV38" s="223">
        <f t="shared" ref="BV38:BV48" si="49">IF(BU38&lt;MAX(BU:BU),0,BU38+ROW()/1000000000)</f>
        <v>3.8000000000000003E-8</v>
      </c>
      <c r="BW38" s="222">
        <f t="shared" ref="BW38:BW48" si="50">IF(BV38=0,0,RANK(BV38,BV:BV))</f>
        <v>35</v>
      </c>
    </row>
    <row r="39" spans="1:75" ht="17.100000000000001" customHeight="1" thickBot="1" x14ac:dyDescent="0.3">
      <c r="A39" s="373"/>
      <c r="B39" s="21" t="str">
        <f t="shared" si="46"/>
        <v/>
      </c>
      <c r="C39" s="22" t="str">
        <f t="shared" si="46"/>
        <v/>
      </c>
      <c r="D39" s="9" t="str">
        <f t="shared" si="46"/>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7"/>
        <v>BC Phönix Lauf</v>
      </c>
      <c r="BS39" s="222">
        <f t="shared" si="45"/>
        <v>34</v>
      </c>
      <c r="BT39" s="223">
        <f t="shared" si="48"/>
        <v>0</v>
      </c>
      <c r="BU39" s="223">
        <f>IF(COUNTIF(BH39:BM39,"&gt;0")&lt;Spielorte!$A$23,0,BE39/Spielorte!$A$23)</f>
        <v>0</v>
      </c>
      <c r="BV39" s="223">
        <f t="shared" si="49"/>
        <v>3.8999999999999998E-8</v>
      </c>
      <c r="BW39" s="222">
        <f t="shared" si="50"/>
        <v>34</v>
      </c>
    </row>
    <row r="40" spans="1:75" ht="17.100000000000001" customHeight="1" x14ac:dyDescent="0.25">
      <c r="A40" s="371" t="s">
        <v>2</v>
      </c>
      <c r="B40" s="17" t="str">
        <f t="shared" si="46"/>
        <v/>
      </c>
      <c r="C40" s="18" t="str">
        <f t="shared" si="46"/>
        <v/>
      </c>
      <c r="D40" s="14" t="str">
        <f t="shared" si="46"/>
        <v/>
      </c>
      <c r="E40" s="350">
        <f>IF(V40="","",V40)</f>
        <v>0</v>
      </c>
      <c r="F40" s="14" t="str">
        <f t="shared" si="27"/>
        <v/>
      </c>
      <c r="G40" s="350">
        <f>IF(X40="","",X40)</f>
        <v>0</v>
      </c>
      <c r="H40" s="14" t="str">
        <f t="shared" si="28"/>
        <v/>
      </c>
      <c r="I40" s="350">
        <f>IF(Z40="","",Z40)</f>
        <v>0</v>
      </c>
      <c r="J40" s="14" t="str">
        <f t="shared" si="29"/>
        <v/>
      </c>
      <c r="K40" s="350">
        <f>IF(AB40="","",AB40)</f>
        <v>0</v>
      </c>
      <c r="L40" s="14" t="str">
        <f t="shared" si="30"/>
        <v/>
      </c>
      <c r="M40" s="350">
        <f>IF(AD40="","",AD40)</f>
        <v>0</v>
      </c>
      <c r="N40" s="14" t="str">
        <f t="shared" si="31"/>
        <v/>
      </c>
      <c r="O40" s="350">
        <f>IF(AH40="","",AH40)</f>
        <v>0</v>
      </c>
      <c r="R40" s="357"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7"/>
        <v>BC Phönix Lauf</v>
      </c>
      <c r="BS40" s="222">
        <f t="shared" si="45"/>
        <v>33</v>
      </c>
      <c r="BT40" s="223">
        <f t="shared" si="48"/>
        <v>0</v>
      </c>
      <c r="BU40" s="223">
        <f>IF(COUNTIF(BH40:BM40,"&gt;0")&lt;Spielorte!$A$23,0,BE40/Spielorte!$A$23)</f>
        <v>0</v>
      </c>
      <c r="BV40" s="223">
        <f t="shared" si="49"/>
        <v>4.0000000000000001E-8</v>
      </c>
      <c r="BW40" s="222">
        <f t="shared" si="50"/>
        <v>33</v>
      </c>
    </row>
    <row r="41" spans="1:75" ht="17.100000000000001" customHeight="1" x14ac:dyDescent="0.25">
      <c r="A41" s="372"/>
      <c r="B41" s="19" t="str">
        <f t="shared" si="46"/>
        <v/>
      </c>
      <c r="C41" s="20" t="str">
        <f t="shared" si="46"/>
        <v/>
      </c>
      <c r="D41" s="15" t="str">
        <f t="shared" si="46"/>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7"/>
        <v>BC Phönix Lauf</v>
      </c>
      <c r="BS41" s="222">
        <f t="shared" si="45"/>
        <v>32</v>
      </c>
      <c r="BT41" s="223">
        <f t="shared" si="48"/>
        <v>0</v>
      </c>
      <c r="BU41" s="223">
        <f>IF(COUNTIF(BH41:BM41,"&gt;0")&lt;Spielorte!$A$23,0,BE41/Spielorte!$A$23)</f>
        <v>0</v>
      </c>
      <c r="BV41" s="223">
        <f t="shared" si="49"/>
        <v>4.1000000000000003E-8</v>
      </c>
      <c r="BW41" s="222">
        <f t="shared" si="50"/>
        <v>32</v>
      </c>
    </row>
    <row r="42" spans="1:75" ht="17.100000000000001" customHeight="1" thickBot="1" x14ac:dyDescent="0.3">
      <c r="A42" s="373"/>
      <c r="B42" s="21" t="str">
        <f t="shared" si="46"/>
        <v/>
      </c>
      <c r="C42" s="22" t="str">
        <f t="shared" si="46"/>
        <v/>
      </c>
      <c r="D42" s="9" t="str">
        <f t="shared" si="46"/>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7"/>
        <v>BC Phönix Lauf</v>
      </c>
      <c r="BS42" s="222">
        <f t="shared" si="45"/>
        <v>31</v>
      </c>
      <c r="BT42" s="223">
        <f t="shared" si="48"/>
        <v>0</v>
      </c>
      <c r="BU42" s="223">
        <f>IF(COUNTIF(BH42:BM42,"&gt;0")&lt;Spielorte!$A$23,0,BE42/Spielorte!$A$23)</f>
        <v>0</v>
      </c>
      <c r="BV42" s="223">
        <f t="shared" si="49"/>
        <v>4.1999999999999999E-8</v>
      </c>
      <c r="BW42" s="222">
        <f t="shared" si="50"/>
        <v>31</v>
      </c>
    </row>
    <row r="43" spans="1:75" ht="17.100000000000001" customHeight="1" x14ac:dyDescent="0.25">
      <c r="A43" s="371" t="s">
        <v>3</v>
      </c>
      <c r="B43" s="17" t="str">
        <f t="shared" si="46"/>
        <v/>
      </c>
      <c r="C43" s="18" t="str">
        <f t="shared" si="46"/>
        <v/>
      </c>
      <c r="D43" s="14" t="str">
        <f t="shared" si="46"/>
        <v/>
      </c>
      <c r="E43" s="350">
        <f>IF(V43="","",V43)</f>
        <v>0</v>
      </c>
      <c r="F43" s="14" t="str">
        <f t="shared" si="27"/>
        <v/>
      </c>
      <c r="G43" s="350">
        <f>IF(X43="","",X43)</f>
        <v>0</v>
      </c>
      <c r="H43" s="14" t="str">
        <f t="shared" si="28"/>
        <v/>
      </c>
      <c r="I43" s="350">
        <f>IF(Z43="","",Z43)</f>
        <v>0</v>
      </c>
      <c r="J43" s="14" t="str">
        <f t="shared" si="29"/>
        <v/>
      </c>
      <c r="K43" s="350">
        <f>IF(AB43="","",AB43)</f>
        <v>0</v>
      </c>
      <c r="L43" s="14" t="str">
        <f t="shared" si="30"/>
        <v/>
      </c>
      <c r="M43" s="350">
        <f>IF(AD43="","",AD43)</f>
        <v>0</v>
      </c>
      <c r="N43" s="14" t="str">
        <f t="shared" si="31"/>
        <v/>
      </c>
      <c r="O43" s="350">
        <f>IF(AH43="","",AH43)</f>
        <v>0</v>
      </c>
      <c r="R43" s="357"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7"/>
        <v>BC Phönix Lauf</v>
      </c>
      <c r="BS43" s="222">
        <f t="shared" si="45"/>
        <v>30</v>
      </c>
      <c r="BT43" s="223">
        <f t="shared" si="48"/>
        <v>0</v>
      </c>
      <c r="BU43" s="223">
        <f>IF(COUNTIF(BH43:BM43,"&gt;0")&lt;Spielorte!$A$23,0,BE43/Spielorte!$A$23)</f>
        <v>0</v>
      </c>
      <c r="BV43" s="223">
        <f t="shared" si="49"/>
        <v>4.3000000000000001E-8</v>
      </c>
      <c r="BW43" s="222">
        <f t="shared" si="50"/>
        <v>30</v>
      </c>
    </row>
    <row r="44" spans="1:75" ht="17.100000000000001" customHeight="1" x14ac:dyDescent="0.25">
      <c r="A44" s="372"/>
      <c r="B44" s="19" t="str">
        <f t="shared" si="46"/>
        <v/>
      </c>
      <c r="C44" s="20" t="str">
        <f t="shared" si="46"/>
        <v/>
      </c>
      <c r="D44" s="15" t="str">
        <f t="shared" si="46"/>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7"/>
        <v>BC Phönix Lauf</v>
      </c>
      <c r="BS44" s="222">
        <f t="shared" si="45"/>
        <v>29</v>
      </c>
      <c r="BT44" s="223">
        <f t="shared" si="48"/>
        <v>0</v>
      </c>
      <c r="BU44" s="223">
        <f>IF(COUNTIF(BH44:BM44,"&gt;0")&lt;Spielorte!$A$23,0,BE44/Spielorte!$A$23)</f>
        <v>0</v>
      </c>
      <c r="BV44" s="223">
        <f t="shared" si="49"/>
        <v>4.3999999999999997E-8</v>
      </c>
      <c r="BW44" s="222">
        <f t="shared" si="50"/>
        <v>29</v>
      </c>
    </row>
    <row r="45" spans="1:75" ht="17.100000000000001" customHeight="1" thickBot="1" x14ac:dyDescent="0.3">
      <c r="A45" s="373"/>
      <c r="B45" s="21" t="str">
        <f t="shared" si="46"/>
        <v/>
      </c>
      <c r="C45" s="22" t="str">
        <f t="shared" si="46"/>
        <v/>
      </c>
      <c r="D45" s="9" t="str">
        <f t="shared" si="46"/>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7"/>
        <v>BC Phönix Lauf</v>
      </c>
      <c r="BS45" s="222">
        <f t="shared" si="45"/>
        <v>28</v>
      </c>
      <c r="BT45" s="223">
        <f t="shared" si="48"/>
        <v>0</v>
      </c>
      <c r="BU45" s="223">
        <f>IF(COUNTIF(BH45:BM45,"&gt;0")&lt;Spielorte!$A$23,0,BE45/Spielorte!$A$23)</f>
        <v>0</v>
      </c>
      <c r="BV45" s="223">
        <f t="shared" si="49"/>
        <v>4.4999999999999999E-8</v>
      </c>
      <c r="BW45" s="222">
        <f t="shared" si="50"/>
        <v>28</v>
      </c>
    </row>
    <row r="46" spans="1:75" ht="17.100000000000001" customHeight="1" x14ac:dyDescent="0.25">
      <c r="A46" s="371" t="s">
        <v>11</v>
      </c>
      <c r="B46" s="17" t="str">
        <f>IF(S46=0,"",S46)</f>
        <v/>
      </c>
      <c r="C46" s="18" t="str">
        <f t="shared" si="46"/>
        <v/>
      </c>
      <c r="D46" s="14" t="str">
        <f t="shared" si="46"/>
        <v/>
      </c>
      <c r="E46" s="350">
        <f>IF(V46="","",V46)</f>
        <v>0</v>
      </c>
      <c r="F46" s="14" t="str">
        <f t="shared" si="27"/>
        <v/>
      </c>
      <c r="G46" s="350">
        <f>IF(X46="","",X46)</f>
        <v>0</v>
      </c>
      <c r="H46" s="14" t="str">
        <f t="shared" si="28"/>
        <v/>
      </c>
      <c r="I46" s="350">
        <f>IF(Z46="","",Z46)</f>
        <v>0</v>
      </c>
      <c r="J46" s="14" t="str">
        <f t="shared" si="29"/>
        <v/>
      </c>
      <c r="K46" s="350">
        <f>IF(AB46="","",AB46)</f>
        <v>0</v>
      </c>
      <c r="L46" s="14" t="str">
        <f t="shared" si="30"/>
        <v/>
      </c>
      <c r="M46" s="350">
        <f>IF(AD46="","",AD46)</f>
        <v>0</v>
      </c>
      <c r="N46" s="14" t="str">
        <f t="shared" si="31"/>
        <v/>
      </c>
      <c r="O46" s="350">
        <f>IF(AH46="","",AH46)</f>
        <v>0</v>
      </c>
      <c r="R46" s="357"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7"/>
        <v>BC Phönix Lauf</v>
      </c>
      <c r="BS46" s="222">
        <f t="shared" si="45"/>
        <v>27</v>
      </c>
      <c r="BT46" s="223">
        <f t="shared" si="48"/>
        <v>0</v>
      </c>
      <c r="BU46" s="223">
        <f>IF(COUNTIF(BH46:BM46,"&gt;0")&lt;Spielorte!$A$23,0,BE46/Spielorte!$A$23)</f>
        <v>0</v>
      </c>
      <c r="BV46" s="223">
        <f t="shared" si="49"/>
        <v>4.6000000000000002E-8</v>
      </c>
      <c r="BW46" s="222">
        <f t="shared" si="50"/>
        <v>27</v>
      </c>
    </row>
    <row r="47" spans="1:75" ht="17.100000000000001" customHeight="1" x14ac:dyDescent="0.25">
      <c r="A47" s="372"/>
      <c r="B47" s="19" t="str">
        <f>IF(S47=0,"",S47)</f>
        <v/>
      </c>
      <c r="C47" s="20" t="str">
        <f t="shared" si="46"/>
        <v/>
      </c>
      <c r="D47" s="15" t="str">
        <f t="shared" si="46"/>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7"/>
        <v>BC Phönix Lauf</v>
      </c>
      <c r="BS47" s="222">
        <f t="shared" si="45"/>
        <v>26</v>
      </c>
      <c r="BT47" s="223">
        <f t="shared" si="48"/>
        <v>0</v>
      </c>
      <c r="BU47" s="223">
        <f>IF(COUNTIF(BH47:BM47,"&gt;0")&lt;Spielorte!$A$23,0,BE47/Spielorte!$A$23)</f>
        <v>0</v>
      </c>
      <c r="BV47" s="223">
        <f t="shared" si="49"/>
        <v>4.6999999999999997E-8</v>
      </c>
      <c r="BW47" s="222">
        <f t="shared" si="50"/>
        <v>26</v>
      </c>
    </row>
    <row r="48" spans="1:75" ht="17.100000000000001" customHeight="1" thickBot="1" x14ac:dyDescent="0.3">
      <c r="A48" s="373"/>
      <c r="B48" s="21" t="str">
        <f>IF(S48=0,"",S48)</f>
        <v/>
      </c>
      <c r="C48" s="22" t="str">
        <f t="shared" si="46"/>
        <v/>
      </c>
      <c r="D48" s="9" t="str">
        <f t="shared" si="46"/>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7"/>
        <v>BC Phönix Lauf</v>
      </c>
      <c r="BS48" s="222">
        <f t="shared" si="45"/>
        <v>25</v>
      </c>
      <c r="BT48" s="223">
        <f t="shared" si="48"/>
        <v>0</v>
      </c>
      <c r="BU48" s="223">
        <f>IF(COUNTIF(BH48:BM48,"&gt;0")&lt;Spielorte!$A$23,0,BE48/Spielorte!$A$23)</f>
        <v>0</v>
      </c>
      <c r="BV48" s="223">
        <f t="shared" si="49"/>
        <v>4.8E-8</v>
      </c>
      <c r="BW48" s="222">
        <f t="shared" si="50"/>
        <v>25</v>
      </c>
    </row>
    <row r="49" spans="1:75" ht="27.75" customHeight="1" thickBot="1" x14ac:dyDescent="0.3">
      <c r="B49" s="11" t="str">
        <f>IF(S49=0,"",S49)</f>
        <v>Gesamt</v>
      </c>
      <c r="C49" s="26" t="str">
        <f t="shared" si="46"/>
        <v/>
      </c>
      <c r="D49" s="16" t="str">
        <f t="shared" si="46"/>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3">
        <f t="shared" si="51"/>
        <v>1</v>
      </c>
      <c r="E52" s="363" t="str">
        <f t="shared" si="51"/>
        <v/>
      </c>
      <c r="F52" s="363">
        <f t="shared" si="51"/>
        <v>1</v>
      </c>
      <c r="G52" s="363" t="str">
        <f t="shared" si="51"/>
        <v/>
      </c>
      <c r="H52" s="363">
        <f t="shared" si="51"/>
        <v>1</v>
      </c>
      <c r="I52" s="363" t="str">
        <f t="shared" si="51"/>
        <v/>
      </c>
      <c r="J52" s="363">
        <f t="shared" si="51"/>
        <v>1</v>
      </c>
      <c r="K52" s="363" t="str">
        <f t="shared" si="51"/>
        <v/>
      </c>
      <c r="L52" s="363">
        <f t="shared" ref="L52:M54" si="52">IF(AC52=0,"",AC52)</f>
        <v>1</v>
      </c>
      <c r="M52" s="363" t="str">
        <f t="shared" si="52"/>
        <v/>
      </c>
      <c r="N52" s="364"/>
      <c r="O52" s="364"/>
      <c r="S52" s="13" t="s">
        <v>1786</v>
      </c>
      <c r="T52" s="5" t="s">
        <v>1787</v>
      </c>
      <c r="U52" s="369">
        <f>VLOOKUP($S32,Schlüssel!$A$5:$CX$10,63)</f>
        <v>1</v>
      </c>
      <c r="V52" s="370"/>
      <c r="W52" s="369">
        <f>VLOOKUP($S32,Schlüssel!$A$5:$DQ$10,64)</f>
        <v>1</v>
      </c>
      <c r="X52" s="370"/>
      <c r="Y52" s="369">
        <f>VLOOKUP($S32,Schlüssel!$A$5:$DQ$10,65)</f>
        <v>1</v>
      </c>
      <c r="Z52" s="370"/>
      <c r="AA52" s="369">
        <f>VLOOKUP($S32,Schlüssel!$A$5:$DQ$10,66)</f>
        <v>1</v>
      </c>
      <c r="AB52" s="370"/>
      <c r="AC52" s="369">
        <f>VLOOKUP($S32,Schlüssel!$A$5:$DQ$10,67)</f>
        <v>1</v>
      </c>
      <c r="AD52" s="370"/>
      <c r="AE52" s="369">
        <f>VLOOKUP($S32,Schlüssel!$A$5:$DQ$10,68)</f>
        <v>1</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0" t="str">
        <f t="shared" si="51"/>
        <v>Kleeblatt Fürth</v>
      </c>
      <c r="E53" s="361" t="str">
        <f t="shared" si="51"/>
        <v/>
      </c>
      <c r="F53" s="360" t="str">
        <f t="shared" si="51"/>
        <v>Kleeblatt Fürth</v>
      </c>
      <c r="G53" s="361" t="str">
        <f t="shared" si="51"/>
        <v/>
      </c>
      <c r="H53" s="360" t="str">
        <f t="shared" si="51"/>
        <v>Kleeblatt Fürth</v>
      </c>
      <c r="I53" s="361" t="str">
        <f t="shared" si="51"/>
        <v/>
      </c>
      <c r="J53" s="360" t="str">
        <f t="shared" si="51"/>
        <v>Kleeblatt Fürth</v>
      </c>
      <c r="K53" s="361" t="str">
        <f t="shared" si="51"/>
        <v/>
      </c>
      <c r="L53" s="360" t="str">
        <f t="shared" si="52"/>
        <v>Kleeblatt Fürth</v>
      </c>
      <c r="M53" s="361" t="str">
        <f t="shared" si="52"/>
        <v/>
      </c>
      <c r="N53" s="362"/>
      <c r="O53" s="362"/>
      <c r="S53" s="4"/>
      <c r="T53" s="1"/>
      <c r="U53" s="360" t="str">
        <f>VLOOKUP(U52,Schlüssel!$A$5:$K$10,2)</f>
        <v>Kleeblatt Fürth</v>
      </c>
      <c r="V53" s="361"/>
      <c r="W53" s="360" t="str">
        <f>VLOOKUP(W52,Schlüssel!$A$5:$K$10,2)</f>
        <v>Kleeblatt Fürth</v>
      </c>
      <c r="X53" s="361"/>
      <c r="Y53" s="360" t="str">
        <f>VLOOKUP(Y52,Schlüssel!$A$5:$K$10,2)</f>
        <v>Kleeblatt Fürth</v>
      </c>
      <c r="Z53" s="361"/>
      <c r="AA53" s="360" t="str">
        <f>VLOOKUP(AA52,Schlüssel!$A$5:$K$10,2)</f>
        <v>Kleeblatt Fürth</v>
      </c>
      <c r="AB53" s="361"/>
      <c r="AC53" s="360" t="str">
        <f>VLOOKUP(AC52,Schlüssel!$A$5:$K$10,2)</f>
        <v>Kleeblatt Fürth</v>
      </c>
      <c r="AD53" s="361"/>
      <c r="AE53" s="360" t="str">
        <f>VLOOKUP(AE52,Schlüssel!$A$5:$K$10,2)</f>
        <v>Kleeblatt Fürth</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5" t="str">
        <f t="shared" si="51"/>
        <v/>
      </c>
      <c r="E54" s="365" t="str">
        <f t="shared" si="51"/>
        <v/>
      </c>
      <c r="F54" s="365" t="str">
        <f t="shared" si="51"/>
        <v/>
      </c>
      <c r="G54" s="365" t="str">
        <f t="shared" si="51"/>
        <v/>
      </c>
      <c r="H54" s="365" t="str">
        <f t="shared" si="51"/>
        <v/>
      </c>
      <c r="I54" s="365" t="str">
        <f t="shared" si="51"/>
        <v/>
      </c>
      <c r="J54" s="365" t="str">
        <f t="shared" si="51"/>
        <v/>
      </c>
      <c r="K54" s="365" t="str">
        <f t="shared" si="51"/>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f>IF(U55=301,"",U55)</f>
        <v>0</v>
      </c>
      <c r="E55" s="346" t="str">
        <f>IF(V55=0,"",V55)</f>
        <v/>
      </c>
      <c r="F55" s="346">
        <f>IF(W55=301,"",W55)</f>
        <v>0</v>
      </c>
      <c r="G55" s="346" t="str">
        <f>IF(X55=0,"",X55)</f>
        <v/>
      </c>
      <c r="H55" s="346">
        <f>IF(Y55=301,"",Y55)</f>
        <v>0</v>
      </c>
      <c r="I55" s="346" t="str">
        <f>IF(Z55=0,"",Z55)</f>
        <v/>
      </c>
      <c r="J55" s="346">
        <f>IF(AA55=301,"",AA55)</f>
        <v>0</v>
      </c>
      <c r="K55" s="346" t="str">
        <f>IF(AB55=0,"",AB55)</f>
        <v/>
      </c>
      <c r="L55" s="346">
        <f>IF(AC55=301,"",AC55)</f>
        <v>0</v>
      </c>
      <c r="M55" s="346" t="str">
        <f>IF(AD55=0,"",AD55)</f>
        <v/>
      </c>
      <c r="N55" s="354"/>
      <c r="O55" s="354"/>
      <c r="S55" s="35" t="s">
        <v>0</v>
      </c>
      <c r="T55" s="36"/>
      <c r="U55" s="374">
        <f>ABS(INDEX(U:U,MATCH(U52,$S:$S,0)+5)+INDEX(U:U,MATCH(U52,$S:$S,0)+6)+INDEX(U:U,MATCH(U52,$S:$S,0)+7))</f>
        <v>0</v>
      </c>
      <c r="V55" s="375"/>
      <c r="W55" s="374">
        <f>ABS(INDEX(W:W,MATCH(W52,$S:$S,0)+5)+INDEX(W:W,MATCH(W52,$S:$S,0)+6)+INDEX(W:W,MATCH(W52,$S:$S,0)+7))</f>
        <v>0</v>
      </c>
      <c r="X55" s="375"/>
      <c r="Y55" s="374">
        <f>ABS(INDEX(Y:Y,MATCH(Y52,$S:$S,0)+5)+INDEX(Y:Y,MATCH(Y52,$S:$S,0)+6)+INDEX(Y:Y,MATCH(Y52,$S:$S,0)+7))</f>
        <v>0</v>
      </c>
      <c r="Z55" s="375"/>
      <c r="AA55" s="374">
        <f>ABS(INDEX(AA:AA,MATCH(AA52,$S:$S,0)+5)+INDEX(AA:AA,MATCH(AA52,$S:$S,0)+6)+INDEX(AA:AA,MATCH(AA52,$S:$S,0)+7))</f>
        <v>0</v>
      </c>
      <c r="AB55" s="375"/>
      <c r="AC55" s="374">
        <f>ABS(INDEX(AC:AC,MATCH(AC52,$S:$S,0)+5)+INDEX(AC:AC,MATCH(AC52,$S:$S,0)+6)+INDEX(AC:AC,MATCH(AC52,$S:$S,0)+7))</f>
        <v>0</v>
      </c>
      <c r="AD55" s="375"/>
      <c r="AE55" s="374">
        <f>ABS(INDEX(AE:AE,MATCH(AE52,$S:$S,0)+5)+INDEX(AE:AE,MATCH(AE52,$S:$S,0)+6)+INDEX(AE:AE,MATCH(AE52,$S:$S,0)+7))</f>
        <v>0</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f>IF(U56=301,"",U56)</f>
        <v>0</v>
      </c>
      <c r="E56" s="346" t="str">
        <f>IF(V56=0,"",V56)</f>
        <v/>
      </c>
      <c r="F56" s="346">
        <f>IF(W56=301,"",W56)</f>
        <v>0</v>
      </c>
      <c r="G56" s="346" t="str">
        <f>IF(X56=0,"",X56)</f>
        <v/>
      </c>
      <c r="H56" s="346">
        <f>IF(Y56=301,"",Y56)</f>
        <v>0</v>
      </c>
      <c r="I56" s="346" t="str">
        <f>IF(Z56=0,"",Z56)</f>
        <v/>
      </c>
      <c r="J56" s="346">
        <f>IF(AA56=301,"",AA56)</f>
        <v>0</v>
      </c>
      <c r="K56" s="346" t="str">
        <f>IF(AB56=0,"",AB56)</f>
        <v/>
      </c>
      <c r="L56" s="346">
        <f>IF(AC56=301,"",AC56)</f>
        <v>0</v>
      </c>
      <c r="M56" s="346" t="str">
        <f>IF(AD56=0,"",AD56)</f>
        <v/>
      </c>
      <c r="N56" s="354"/>
      <c r="O56" s="354"/>
      <c r="S56" s="35" t="s">
        <v>2</v>
      </c>
      <c r="T56" s="36"/>
      <c r="U56" s="376">
        <f>ABS(INDEX(U:U,MATCH(U52,$S:$S,0)+8)+INDEX(U:U,MATCH(U52,$S:$S,0)+9)+INDEX(U:U,MATCH(U52,$S:$S,0)+10))</f>
        <v>0</v>
      </c>
      <c r="V56" s="377"/>
      <c r="W56" s="376">
        <f>ABS(INDEX(W:W,MATCH(W52,$S:$S,0)+8)+INDEX(W:W,MATCH(W52,$S:$S,0)+9)+INDEX(W:W,MATCH(W52,$S:$S,0)+10))</f>
        <v>0</v>
      </c>
      <c r="X56" s="377"/>
      <c r="Y56" s="376">
        <f>ABS(INDEX(Y:Y,MATCH(Y52,$S:$S,0)+8)+INDEX(Y:Y,MATCH(Y52,$S:$S,0)+9)+INDEX(Y:Y,MATCH(Y52,$S:$S,0)+10))</f>
        <v>0</v>
      </c>
      <c r="Z56" s="377"/>
      <c r="AA56" s="376">
        <f>ABS(INDEX(AA:AA,MATCH(AA52,$S:$S,0)+8)+INDEX(AA:AA,MATCH(AA52,$S:$S,0)+9)+INDEX(AA:AA,MATCH(AA52,$S:$S,0)+10))</f>
        <v>0</v>
      </c>
      <c r="AB56" s="377"/>
      <c r="AC56" s="376">
        <f>ABS(INDEX(AC:AC,MATCH(AC52,$S:$S,0)+8)+INDEX(AC:AC,MATCH(AC52,$S:$S,0)+9)+INDEX(AC:AC,MATCH(AC52,$S:$S,0)+10))</f>
        <v>0</v>
      </c>
      <c r="AD56" s="377"/>
      <c r="AE56" s="376">
        <f>ABS(INDEX(AE:AE,MATCH(AE52,$S:$S,0)+8)+INDEX(AE:AE,MATCH(AE52,$S:$S,0)+9)+INDEX(AE:AE,MATCH(AE52,$S:$S,0)+10))</f>
        <v>0</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f>IF(U57=301,"",U57)</f>
        <v>0</v>
      </c>
      <c r="E57" s="346" t="str">
        <f>IF(V57=0,"",V57)</f>
        <v/>
      </c>
      <c r="F57" s="346">
        <f>IF(W57=301,"",W57)</f>
        <v>0</v>
      </c>
      <c r="G57" s="346" t="str">
        <f>IF(X57=0,"",X57)</f>
        <v/>
      </c>
      <c r="H57" s="346">
        <f>IF(Y57=301,"",Y57)</f>
        <v>0</v>
      </c>
      <c r="I57" s="346" t="str">
        <f>IF(Z57=0,"",Z57)</f>
        <v/>
      </c>
      <c r="J57" s="346">
        <f>IF(AA57=301,"",AA57)</f>
        <v>0</v>
      </c>
      <c r="K57" s="346" t="str">
        <f>IF(AB57=0,"",AB57)</f>
        <v/>
      </c>
      <c r="L57" s="346">
        <f>IF(AC57=301,"",AC57)</f>
        <v>0</v>
      </c>
      <c r="M57" s="346" t="str">
        <f>IF(AD57=0,"",AD57)</f>
        <v/>
      </c>
      <c r="N57" s="354"/>
      <c r="O57" s="354"/>
      <c r="S57" s="35" t="s">
        <v>3</v>
      </c>
      <c r="T57" s="36"/>
      <c r="U57" s="376">
        <f>ABS(INDEX(U:U,MATCH(U52,$S:$S,0)+11)+INDEX(U:U,MATCH(U52,$S:$S,0)+12)+INDEX(U:U,MATCH(U52,$S:$S,0)+13))</f>
        <v>0</v>
      </c>
      <c r="V57" s="377"/>
      <c r="W57" s="376">
        <f>ABS(INDEX(W:W,MATCH(W52,$S:$S,0)+11)+INDEX(W:W,MATCH(W52,$S:$S,0)+12)+INDEX(W:W,MATCH(W52,$S:$S,0)+13))</f>
        <v>0</v>
      </c>
      <c r="X57" s="377"/>
      <c r="Y57" s="376">
        <f>ABS(INDEX(Y:Y,MATCH(Y52,$S:$S,0)+11)+INDEX(Y:Y,MATCH(Y52,$S:$S,0)+12)+INDEX(Y:Y,MATCH(Y52,$S:$S,0)+13))</f>
        <v>0</v>
      </c>
      <c r="Z57" s="377"/>
      <c r="AA57" s="376">
        <f>ABS(INDEX(AA:AA,MATCH(AA52,$S:$S,0)+11)+INDEX(AA:AA,MATCH(AA52,$S:$S,0)+12)+INDEX(AA:AA,MATCH(AA52,$S:$S,0)+13))</f>
        <v>0</v>
      </c>
      <c r="AB57" s="377"/>
      <c r="AC57" s="376">
        <f>ABS(INDEX(AC:AC,MATCH(AC52,$S:$S,0)+11)+INDEX(AC:AC,MATCH(AC52,$S:$S,0)+12)+INDEX(AC:AC,MATCH(AC52,$S:$S,0)+13))</f>
        <v>0</v>
      </c>
      <c r="AD57" s="377"/>
      <c r="AE57" s="376">
        <f>ABS(INDEX(AE:AE,MATCH(AE52,$S:$S,0)+11)+INDEX(AE:AE,MATCH(AE52,$S:$S,0)+12)+INDEX(AE:AE,MATCH(AE52,$S:$S,0)+13))</f>
        <v>0</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f>IF(U58=301,"",U58)</f>
        <v>0</v>
      </c>
      <c r="E58" s="346" t="str">
        <f>IF(V58=0,"",V58)</f>
        <v/>
      </c>
      <c r="F58" s="346">
        <f>IF(W58=301,"",W58)</f>
        <v>0</v>
      </c>
      <c r="G58" s="346" t="str">
        <f>IF(X58=0,"",X58)</f>
        <v/>
      </c>
      <c r="H58" s="346">
        <f>IF(Y58=301,"",Y58)</f>
        <v>0</v>
      </c>
      <c r="I58" s="346" t="str">
        <f>IF(Z58=0,"",Z58)</f>
        <v/>
      </c>
      <c r="J58" s="346">
        <f>IF(AA58=301,"",AA58)</f>
        <v>0</v>
      </c>
      <c r="K58" s="346" t="str">
        <f>IF(AB58=0,"",AB58)</f>
        <v/>
      </c>
      <c r="L58" s="346">
        <f>IF(AC58=301,"",AC58)</f>
        <v>0</v>
      </c>
      <c r="M58" s="346" t="str">
        <f>IF(AD58=0,"",AD58)</f>
        <v/>
      </c>
      <c r="N58" s="354"/>
      <c r="O58" s="354"/>
      <c r="S58" s="35" t="s">
        <v>11</v>
      </c>
      <c r="T58" s="36"/>
      <c r="U58" s="376">
        <f>ABS(INDEX(U:U,MATCH(U52,$S:$S,0)+14)+INDEX(U:U,MATCH(U52,$S:$S,0)+15)+INDEX(U:U,MATCH(U52,$S:$S,0)+16))</f>
        <v>0</v>
      </c>
      <c r="V58" s="377"/>
      <c r="W58" s="376">
        <f>ABS(INDEX(W:W,MATCH(W52,$S:$S,0)+14)+INDEX(W:W,MATCH(W52,$S:$S,0)+15)+INDEX(W:W,MATCH(W52,$S:$S,0)+16))</f>
        <v>0</v>
      </c>
      <c r="X58" s="377"/>
      <c r="Y58" s="376">
        <f>ABS(INDEX(Y:Y,MATCH(Y52,$S:$S,0)+14)+INDEX(Y:Y,MATCH(Y52,$S:$S,0)+15)+INDEX(Y:Y,MATCH(Y52,$S:$S,0)+16))</f>
        <v>0</v>
      </c>
      <c r="Z58" s="377"/>
      <c r="AA58" s="376">
        <f>ABS(INDEX(AA:AA,MATCH(AA52,$S:$S,0)+14)+INDEX(AA:AA,MATCH(AA52,$S:$S,0)+15)+INDEX(AA:AA,MATCH(AA52,$S:$S,0)+16))</f>
        <v>0</v>
      </c>
      <c r="AB58" s="377"/>
      <c r="AC58" s="376">
        <f>ABS(INDEX(AC:AC,MATCH(AC52,$S:$S,0)+14)+INDEX(AC:AC,MATCH(AC52,$S:$S,0)+15)+INDEX(AC:AC,MATCH(AC52,$S:$S,0)+16))</f>
        <v>0</v>
      </c>
      <c r="AD58" s="377"/>
      <c r="AE58" s="376">
        <f>ABS(INDEX(AE:AE,MATCH(AE52,$S:$S,0)+14)+INDEX(AE:AE,MATCH(AE52,$S:$S,0)+15)+INDEX(AE:AE,MATCH(AE52,$S:$S,0)+16))</f>
        <v>0</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f>IF(U59=1505,"",U59)</f>
        <v>0</v>
      </c>
      <c r="E59" s="347" t="str">
        <f>IF(V59=0,"",V59)</f>
        <v/>
      </c>
      <c r="F59" s="347">
        <f>IF(W59=1505,"",W59)</f>
        <v>0</v>
      </c>
      <c r="G59" s="347" t="str">
        <f>IF(X59=0,"",X59)</f>
        <v/>
      </c>
      <c r="H59" s="347">
        <f>IF(Y59=1505,"",Y59)</f>
        <v>0</v>
      </c>
      <c r="I59" s="347" t="str">
        <f>IF(Z59=0,"",Z59)</f>
        <v/>
      </c>
      <c r="J59" s="347">
        <f>IF(AA59=1505,"",AA59)</f>
        <v>0</v>
      </c>
      <c r="K59" s="347" t="str">
        <f>IF(AB59=0,"",AB59)</f>
        <v/>
      </c>
      <c r="L59" s="347">
        <f>IF(AC59=1505,"",AC59)</f>
        <v>0</v>
      </c>
      <c r="M59" s="347" t="str">
        <f>IF(AD59=0,"",AD59)</f>
        <v/>
      </c>
      <c r="N59" s="300"/>
      <c r="O59" s="300"/>
      <c r="S59" s="37" t="s">
        <v>1788</v>
      </c>
      <c r="T59" s="38"/>
      <c r="U59" s="348">
        <f>SUM(U55:U58)</f>
        <v>0</v>
      </c>
      <c r="V59" s="349"/>
      <c r="W59" s="348">
        <f>SUM(W55:W58)</f>
        <v>0</v>
      </c>
      <c r="X59" s="349"/>
      <c r="Y59" s="348">
        <f>SUM(Y55:Y58)</f>
        <v>0</v>
      </c>
      <c r="Z59" s="349"/>
      <c r="AA59" s="348">
        <f>SUM(AA55:AA58)</f>
        <v>0</v>
      </c>
      <c r="AB59" s="349"/>
      <c r="AC59" s="348">
        <f>SUM(AC55:AC58)</f>
        <v>0</v>
      </c>
      <c r="AD59" s="349"/>
      <c r="AE59" s="348">
        <f>SUM(AE55:AE58)</f>
        <v>0</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Schlüssel!$BU$1</f>
        <v>16.03.</v>
      </c>
      <c r="N61" s="366"/>
      <c r="O61" s="366"/>
      <c r="P61" s="368"/>
      <c r="Q61" s="368"/>
      <c r="R61" s="368"/>
      <c r="S61" s="7" t="s">
        <v>1798</v>
      </c>
      <c r="T61" s="25"/>
      <c r="U61" s="30" t="s">
        <v>1782</v>
      </c>
      <c r="V61" s="76" t="str">
        <f>Schlüssel!$C$1</f>
        <v>Landesliga Nord Frauen</v>
      </c>
      <c r="X61" s="25"/>
      <c r="Y61" s="25"/>
      <c r="Z61" s="25"/>
      <c r="AA61" s="25"/>
      <c r="AC61" s="29"/>
      <c r="AD61" s="353" t="str">
        <f>Schlüssel!$BU$1</f>
        <v>16.03.</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t="e">
        <f>IF(V67="","",V67)</f>
        <v>#N/A</v>
      </c>
      <c r="F67" s="14" t="str">
        <f t="shared" ref="F67:F80" si="54">IF(W67=0,"",W67)</f>
        <v/>
      </c>
      <c r="G67" s="350" t="e">
        <f>IF(X67="","",X67)</f>
        <v>#N/A</v>
      </c>
      <c r="H67" s="14" t="str">
        <f t="shared" ref="H67:H80" si="55">IF(Y67=0,"",Y67)</f>
        <v/>
      </c>
      <c r="I67" s="350" t="e">
        <f>IF(Z67="","",Z67)</f>
        <v>#N/A</v>
      </c>
      <c r="J67" s="14" t="str">
        <f t="shared" ref="J67:J80" si="56">IF(AA67=0,"",AA67)</f>
        <v/>
      </c>
      <c r="K67" s="350" t="e">
        <f>IF(AB67="","",AB67)</f>
        <v>#N/A</v>
      </c>
      <c r="L67" s="14" t="str">
        <f t="shared" ref="L67:L80" si="57">IF(AC67=0,"",AC67)</f>
        <v/>
      </c>
      <c r="M67" s="350" t="e">
        <f>IF(AD67="","",AD67)</f>
        <v>#N/A</v>
      </c>
      <c r="N67" s="14" t="str">
        <f t="shared" ref="N67:N80" si="58">IF(AG67=0,"",AG67)</f>
        <v/>
      </c>
      <c r="O67" s="350" t="e">
        <f>IF(AH67="","",AH67)</f>
        <v>#N/A</v>
      </c>
      <c r="R67" s="357"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24</v>
      </c>
      <c r="BT67" s="223">
        <f>SUMIF(BH67:BM67,"&gt;0")</f>
        <v>0</v>
      </c>
      <c r="BU67" s="223">
        <f>IF(COUNTIF(BH67:BM67,"&gt;0")&lt;Spielorte!$A$23,0,BE67/Spielorte!$A$23)</f>
        <v>0</v>
      </c>
      <c r="BV67" s="223">
        <f>IF(BU67&lt;MAX(BU:BU),0,BU67+ROW()/1000000000)</f>
        <v>6.7000000000000004E-8</v>
      </c>
      <c r="BW67" s="222">
        <f>IF(BV67=0,0,RANK(BV67,BV:BV))</f>
        <v>24</v>
      </c>
    </row>
    <row r="68" spans="1:75" ht="17.100000000000001" customHeight="1" x14ac:dyDescent="0.25">
      <c r="A68" s="372"/>
      <c r="B68" s="19" t="str">
        <f t="shared" ref="B68:D80" si="73">IF(S68=0,"",S68)</f>
        <v/>
      </c>
      <c r="C68" s="20" t="str">
        <f t="shared" si="73"/>
        <v/>
      </c>
      <c r="D68" s="15" t="str">
        <f t="shared" si="73"/>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4">+BR67</f>
        <v>Mainauenbowler Bayreuth Land</v>
      </c>
      <c r="BS68" s="222">
        <f t="shared" si="72"/>
        <v>23</v>
      </c>
      <c r="BT68" s="223">
        <f t="shared" ref="BT68:BT78" si="75">SUMIF(BH68:BM68,"&gt;0")</f>
        <v>0</v>
      </c>
      <c r="BU68" s="223">
        <f>IF(COUNTIF(BH68:BM68,"&gt;0")&lt;Spielorte!$A$23,0,BE68/Spielorte!$A$23)</f>
        <v>0</v>
      </c>
      <c r="BV68" s="223">
        <f t="shared" ref="BV68:BV78" si="76">IF(BU68&lt;MAX(BU:BU),0,BU68+ROW()/1000000000)</f>
        <v>6.8E-8</v>
      </c>
      <c r="BW68" s="222">
        <f t="shared" ref="BW68:BW78" si="77">IF(BV68=0,0,RANK(BV68,BV:BV))</f>
        <v>23</v>
      </c>
    </row>
    <row r="69" spans="1:75" ht="17.100000000000001" customHeight="1" thickBot="1" x14ac:dyDescent="0.3">
      <c r="A69" s="373"/>
      <c r="B69" s="21" t="str">
        <f t="shared" si="73"/>
        <v/>
      </c>
      <c r="C69" s="22" t="str">
        <f t="shared" si="73"/>
        <v/>
      </c>
      <c r="D69" s="9" t="str">
        <f t="shared" si="73"/>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4"/>
        <v>Mainauenbowler Bayreuth Land</v>
      </c>
      <c r="BS69" s="222">
        <f t="shared" si="72"/>
        <v>22</v>
      </c>
      <c r="BT69" s="223">
        <f t="shared" si="75"/>
        <v>0</v>
      </c>
      <c r="BU69" s="223">
        <f>IF(COUNTIF(BH69:BM69,"&gt;0")&lt;Spielorte!$A$23,0,BE69/Spielorte!$A$23)</f>
        <v>0</v>
      </c>
      <c r="BV69" s="223">
        <f t="shared" si="76"/>
        <v>6.8999999999999996E-8</v>
      </c>
      <c r="BW69" s="222">
        <f t="shared" si="77"/>
        <v>22</v>
      </c>
    </row>
    <row r="70" spans="1:75" ht="17.100000000000001" customHeight="1" x14ac:dyDescent="0.25">
      <c r="A70" s="371" t="s">
        <v>2</v>
      </c>
      <c r="B70" s="17" t="str">
        <f t="shared" si="73"/>
        <v/>
      </c>
      <c r="C70" s="18" t="str">
        <f t="shared" si="73"/>
        <v/>
      </c>
      <c r="D70" s="14" t="str">
        <f t="shared" si="73"/>
        <v/>
      </c>
      <c r="E70" s="350" t="e">
        <f>IF(V70="","",V70)</f>
        <v>#N/A</v>
      </c>
      <c r="F70" s="14" t="str">
        <f t="shared" si="54"/>
        <v/>
      </c>
      <c r="G70" s="350" t="e">
        <f>IF(X70="","",X70)</f>
        <v>#N/A</v>
      </c>
      <c r="H70" s="14" t="str">
        <f t="shared" si="55"/>
        <v/>
      </c>
      <c r="I70" s="350" t="e">
        <f>IF(Z70="","",Z70)</f>
        <v>#N/A</v>
      </c>
      <c r="J70" s="14" t="str">
        <f t="shared" si="56"/>
        <v/>
      </c>
      <c r="K70" s="350" t="e">
        <f>IF(AB70="","",AB70)</f>
        <v>#N/A</v>
      </c>
      <c r="L70" s="14" t="str">
        <f t="shared" si="57"/>
        <v/>
      </c>
      <c r="M70" s="350" t="e">
        <f>IF(AD70="","",AD70)</f>
        <v>#N/A</v>
      </c>
      <c r="N70" s="14" t="str">
        <f t="shared" si="58"/>
        <v/>
      </c>
      <c r="O70" s="350" t="e">
        <f>IF(AH70="","",AH70)</f>
        <v>#N/A</v>
      </c>
      <c r="R70" s="357"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4"/>
        <v>Mainauenbowler Bayreuth Land</v>
      </c>
      <c r="BS70" s="222">
        <f t="shared" si="72"/>
        <v>21</v>
      </c>
      <c r="BT70" s="223">
        <f t="shared" si="75"/>
        <v>0</v>
      </c>
      <c r="BU70" s="223">
        <f>IF(COUNTIF(BH70:BM70,"&gt;0")&lt;Spielorte!$A$23,0,BE70/Spielorte!$A$23)</f>
        <v>0</v>
      </c>
      <c r="BV70" s="223">
        <f t="shared" si="76"/>
        <v>7.0000000000000005E-8</v>
      </c>
      <c r="BW70" s="222">
        <f t="shared" si="77"/>
        <v>21</v>
      </c>
    </row>
    <row r="71" spans="1:75" ht="17.100000000000001" customHeight="1" x14ac:dyDescent="0.25">
      <c r="A71" s="372"/>
      <c r="B71" s="19" t="str">
        <f t="shared" si="73"/>
        <v/>
      </c>
      <c r="C71" s="20" t="str">
        <f t="shared" si="73"/>
        <v/>
      </c>
      <c r="D71" s="15" t="str">
        <f t="shared" si="73"/>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4"/>
        <v>Mainauenbowler Bayreuth Land</v>
      </c>
      <c r="BS71" s="222">
        <f t="shared" si="72"/>
        <v>20</v>
      </c>
      <c r="BT71" s="223">
        <f t="shared" si="75"/>
        <v>0</v>
      </c>
      <c r="BU71" s="223">
        <f>IF(COUNTIF(BH71:BM71,"&gt;0")&lt;Spielorte!$A$23,0,BE71/Spielorte!$A$23)</f>
        <v>0</v>
      </c>
      <c r="BV71" s="223">
        <f t="shared" si="76"/>
        <v>7.1E-8</v>
      </c>
      <c r="BW71" s="222">
        <f t="shared" si="77"/>
        <v>20</v>
      </c>
    </row>
    <row r="72" spans="1:75" ht="17.100000000000001" customHeight="1" thickBot="1" x14ac:dyDescent="0.3">
      <c r="A72" s="373"/>
      <c r="B72" s="21" t="str">
        <f t="shared" si="73"/>
        <v/>
      </c>
      <c r="C72" s="22" t="str">
        <f t="shared" si="73"/>
        <v/>
      </c>
      <c r="D72" s="9" t="str">
        <f t="shared" si="73"/>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4"/>
        <v>Mainauenbowler Bayreuth Land</v>
      </c>
      <c r="BS72" s="222">
        <f t="shared" si="72"/>
        <v>19</v>
      </c>
      <c r="BT72" s="223">
        <f t="shared" si="75"/>
        <v>0</v>
      </c>
      <c r="BU72" s="223">
        <f>IF(COUNTIF(BH72:BM72,"&gt;0")&lt;Spielorte!$A$23,0,BE72/Spielorte!$A$23)</f>
        <v>0</v>
      </c>
      <c r="BV72" s="223">
        <f t="shared" si="76"/>
        <v>7.1999999999999996E-8</v>
      </c>
      <c r="BW72" s="222">
        <f t="shared" si="77"/>
        <v>19</v>
      </c>
    </row>
    <row r="73" spans="1:75" ht="17.100000000000001" customHeight="1" x14ac:dyDescent="0.25">
      <c r="A73" s="371" t="s">
        <v>3</v>
      </c>
      <c r="B73" s="17" t="str">
        <f t="shared" si="73"/>
        <v/>
      </c>
      <c r="C73" s="18" t="str">
        <f t="shared" si="73"/>
        <v/>
      </c>
      <c r="D73" s="14" t="str">
        <f t="shared" si="73"/>
        <v/>
      </c>
      <c r="E73" s="350" t="e">
        <f>IF(V73="","",V73)</f>
        <v>#N/A</v>
      </c>
      <c r="F73" s="14" t="str">
        <f t="shared" si="54"/>
        <v/>
      </c>
      <c r="G73" s="350" t="e">
        <f>IF(X73="","",X73)</f>
        <v>#N/A</v>
      </c>
      <c r="H73" s="14" t="str">
        <f t="shared" si="55"/>
        <v/>
      </c>
      <c r="I73" s="350" t="e">
        <f>IF(Z73="","",Z73)</f>
        <v>#N/A</v>
      </c>
      <c r="J73" s="14" t="str">
        <f t="shared" si="56"/>
        <v/>
      </c>
      <c r="K73" s="350" t="e">
        <f>IF(AB73="","",AB73)</f>
        <v>#N/A</v>
      </c>
      <c r="L73" s="14" t="str">
        <f t="shared" si="57"/>
        <v/>
      </c>
      <c r="M73" s="350" t="e">
        <f>IF(AD73="","",AD73)</f>
        <v>#N/A</v>
      </c>
      <c r="N73" s="14" t="str">
        <f t="shared" si="58"/>
        <v/>
      </c>
      <c r="O73" s="350" t="e">
        <f>IF(AH73="","",AH73)</f>
        <v>#N/A</v>
      </c>
      <c r="R73" s="357"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4"/>
        <v>Mainauenbowler Bayreuth Land</v>
      </c>
      <c r="BS73" s="222">
        <f t="shared" si="72"/>
        <v>18</v>
      </c>
      <c r="BT73" s="223">
        <f t="shared" si="75"/>
        <v>0</v>
      </c>
      <c r="BU73" s="223">
        <f>IF(COUNTIF(BH73:BM73,"&gt;0")&lt;Spielorte!$A$23,0,BE73/Spielorte!$A$23)</f>
        <v>0</v>
      </c>
      <c r="BV73" s="223">
        <f t="shared" si="76"/>
        <v>7.3000000000000005E-8</v>
      </c>
      <c r="BW73" s="222">
        <f t="shared" si="77"/>
        <v>18</v>
      </c>
    </row>
    <row r="74" spans="1:75" ht="17.100000000000001" customHeight="1" x14ac:dyDescent="0.25">
      <c r="A74" s="372"/>
      <c r="B74" s="19" t="str">
        <f t="shared" si="73"/>
        <v/>
      </c>
      <c r="C74" s="20" t="str">
        <f t="shared" si="73"/>
        <v/>
      </c>
      <c r="D74" s="15" t="str">
        <f t="shared" si="73"/>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4"/>
        <v>Mainauenbowler Bayreuth Land</v>
      </c>
      <c r="BS74" s="222">
        <f t="shared" si="72"/>
        <v>17</v>
      </c>
      <c r="BT74" s="223">
        <f t="shared" si="75"/>
        <v>0</v>
      </c>
      <c r="BU74" s="223">
        <f>IF(COUNTIF(BH74:BM74,"&gt;0")&lt;Spielorte!$A$23,0,BE74/Spielorte!$A$23)</f>
        <v>0</v>
      </c>
      <c r="BV74" s="223">
        <f t="shared" si="76"/>
        <v>7.4000000000000001E-8</v>
      </c>
      <c r="BW74" s="222">
        <f t="shared" si="77"/>
        <v>17</v>
      </c>
    </row>
    <row r="75" spans="1:75" ht="17.100000000000001" customHeight="1" thickBot="1" x14ac:dyDescent="0.3">
      <c r="A75" s="373"/>
      <c r="B75" s="21" t="str">
        <f t="shared" si="73"/>
        <v/>
      </c>
      <c r="C75" s="22" t="str">
        <f t="shared" si="73"/>
        <v/>
      </c>
      <c r="D75" s="9" t="str">
        <f t="shared" si="73"/>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4"/>
        <v>Mainauenbowler Bayreuth Land</v>
      </c>
      <c r="BS75" s="222">
        <f t="shared" si="72"/>
        <v>16</v>
      </c>
      <c r="BT75" s="223">
        <f t="shared" si="75"/>
        <v>0</v>
      </c>
      <c r="BU75" s="223">
        <f>IF(COUNTIF(BH75:BM75,"&gt;0")&lt;Spielorte!$A$23,0,BE75/Spielorte!$A$23)</f>
        <v>0</v>
      </c>
      <c r="BV75" s="223">
        <f t="shared" si="76"/>
        <v>7.4999999999999997E-8</v>
      </c>
      <c r="BW75" s="222">
        <f t="shared" si="77"/>
        <v>16</v>
      </c>
    </row>
    <row r="76" spans="1:75" ht="17.100000000000001" customHeight="1" x14ac:dyDescent="0.25">
      <c r="A76" s="371" t="s">
        <v>11</v>
      </c>
      <c r="B76" s="17" t="str">
        <f>IF(S76=0,"",S76)</f>
        <v/>
      </c>
      <c r="C76" s="18" t="str">
        <f t="shared" si="73"/>
        <v/>
      </c>
      <c r="D76" s="14" t="str">
        <f t="shared" si="73"/>
        <v/>
      </c>
      <c r="E76" s="350" t="e">
        <f>IF(V76="","",V76)</f>
        <v>#N/A</v>
      </c>
      <c r="F76" s="14" t="str">
        <f t="shared" si="54"/>
        <v/>
      </c>
      <c r="G76" s="350" t="e">
        <f>IF(X76="","",X76)</f>
        <v>#N/A</v>
      </c>
      <c r="H76" s="14" t="str">
        <f t="shared" si="55"/>
        <v/>
      </c>
      <c r="I76" s="350" t="e">
        <f>IF(Z76="","",Z76)</f>
        <v>#N/A</v>
      </c>
      <c r="J76" s="14" t="str">
        <f t="shared" si="56"/>
        <v/>
      </c>
      <c r="K76" s="350" t="e">
        <f>IF(AB76="","",AB76)</f>
        <v>#N/A</v>
      </c>
      <c r="L76" s="14" t="str">
        <f t="shared" si="57"/>
        <v/>
      </c>
      <c r="M76" s="350" t="e">
        <f>IF(AD76="","",AD76)</f>
        <v>#N/A</v>
      </c>
      <c r="N76" s="14" t="str">
        <f t="shared" si="58"/>
        <v/>
      </c>
      <c r="O76" s="350" t="e">
        <f>IF(AH76="","",AH76)</f>
        <v>#N/A</v>
      </c>
      <c r="R76" s="357"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4"/>
        <v>Mainauenbowler Bayreuth Land</v>
      </c>
      <c r="BS76" s="222">
        <f t="shared" si="72"/>
        <v>15</v>
      </c>
      <c r="BT76" s="223">
        <f t="shared" si="75"/>
        <v>0</v>
      </c>
      <c r="BU76" s="223">
        <f>IF(COUNTIF(BH76:BM76,"&gt;0")&lt;Spielorte!$A$23,0,BE76/Spielorte!$A$23)</f>
        <v>0</v>
      </c>
      <c r="BV76" s="223">
        <f t="shared" si="76"/>
        <v>7.6000000000000006E-8</v>
      </c>
      <c r="BW76" s="222">
        <f t="shared" si="77"/>
        <v>15</v>
      </c>
    </row>
    <row r="77" spans="1:75" ht="17.100000000000001" customHeight="1" x14ac:dyDescent="0.25">
      <c r="A77" s="372"/>
      <c r="B77" s="19" t="str">
        <f>IF(S77=0,"",S77)</f>
        <v/>
      </c>
      <c r="C77" s="20" t="str">
        <f t="shared" si="73"/>
        <v/>
      </c>
      <c r="D77" s="15" t="str">
        <f t="shared" si="73"/>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4"/>
        <v>Mainauenbowler Bayreuth Land</v>
      </c>
      <c r="BS77" s="222">
        <f t="shared" si="72"/>
        <v>14</v>
      </c>
      <c r="BT77" s="223">
        <f t="shared" si="75"/>
        <v>0</v>
      </c>
      <c r="BU77" s="223">
        <f>IF(COUNTIF(BH77:BM77,"&gt;0")&lt;Spielorte!$A$23,0,BE77/Spielorte!$A$23)</f>
        <v>0</v>
      </c>
      <c r="BV77" s="223">
        <f t="shared" si="76"/>
        <v>7.7000000000000001E-8</v>
      </c>
      <c r="BW77" s="222">
        <f t="shared" si="77"/>
        <v>14</v>
      </c>
    </row>
    <row r="78" spans="1:75" ht="17.100000000000001" customHeight="1" thickBot="1" x14ac:dyDescent="0.3">
      <c r="A78" s="373"/>
      <c r="B78" s="21" t="str">
        <f>IF(S78=0,"",S78)</f>
        <v/>
      </c>
      <c r="C78" s="22" t="str">
        <f t="shared" si="73"/>
        <v/>
      </c>
      <c r="D78" s="9" t="str">
        <f t="shared" si="73"/>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4"/>
        <v>Mainauenbowler Bayreuth Land</v>
      </c>
      <c r="BS78" s="222">
        <f t="shared" si="72"/>
        <v>13</v>
      </c>
      <c r="BT78" s="223">
        <f t="shared" si="75"/>
        <v>0</v>
      </c>
      <c r="BU78" s="223">
        <f>IF(COUNTIF(BH78:BM78,"&gt;0")&lt;Spielorte!$A$23,0,BE78/Spielorte!$A$23)</f>
        <v>0</v>
      </c>
      <c r="BV78" s="223">
        <f t="shared" si="76"/>
        <v>7.7999999999999997E-8</v>
      </c>
      <c r="BW78" s="222">
        <f t="shared" si="77"/>
        <v>13</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3" t="str">
        <f t="shared" si="78"/>
        <v/>
      </c>
      <c r="E82" s="363" t="str">
        <f t="shared" si="78"/>
        <v/>
      </c>
      <c r="F82" s="363" t="str">
        <f t="shared" si="78"/>
        <v/>
      </c>
      <c r="G82" s="363" t="str">
        <f t="shared" si="78"/>
        <v/>
      </c>
      <c r="H82" s="363" t="str">
        <f t="shared" si="78"/>
        <v/>
      </c>
      <c r="I82" s="363" t="str">
        <f t="shared" si="78"/>
        <v/>
      </c>
      <c r="J82" s="363" t="str">
        <f t="shared" si="78"/>
        <v/>
      </c>
      <c r="K82" s="363" t="str">
        <f t="shared" si="78"/>
        <v/>
      </c>
      <c r="L82" s="363" t="str">
        <f t="shared" ref="L82:M84" si="79">IF(AC82=0,"",AC82)</f>
        <v/>
      </c>
      <c r="M82" s="363" t="str">
        <f t="shared" si="79"/>
        <v/>
      </c>
      <c r="N82" s="364"/>
      <c r="O82" s="364"/>
      <c r="S82" s="13" t="s">
        <v>1786</v>
      </c>
      <c r="T82" s="5" t="s">
        <v>1787</v>
      </c>
      <c r="U82" s="369">
        <f>VLOOKUP($S62,Schlüssel!$A$5:$CX$10,63)</f>
        <v>0</v>
      </c>
      <c r="V82" s="370"/>
      <c r="W82" s="369">
        <f>VLOOKUP($S62,Schlüssel!$A$5:$DQ$10,64)</f>
        <v>0</v>
      </c>
      <c r="X82" s="370"/>
      <c r="Y82" s="369">
        <f>VLOOKUP($S62,Schlüssel!$A$5:$DQ$10,65)</f>
        <v>0</v>
      </c>
      <c r="Z82" s="370"/>
      <c r="AA82" s="369">
        <f>VLOOKUP($S62,Schlüssel!$A$5:$DQ$10,66)</f>
        <v>0</v>
      </c>
      <c r="AB82" s="370"/>
      <c r="AC82" s="369">
        <f>VLOOKUP($S62,Schlüssel!$A$5:$DQ$10,67)</f>
        <v>0</v>
      </c>
      <c r="AD82" s="370"/>
      <c r="AE82" s="369">
        <f>VLOOKUP($S62,Schlüssel!$A$5:$DQ$10,68)</f>
        <v>0</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0" t="e">
        <f t="shared" si="78"/>
        <v>#N/A</v>
      </c>
      <c r="E83" s="361" t="str">
        <f t="shared" si="78"/>
        <v/>
      </c>
      <c r="F83" s="360" t="e">
        <f t="shared" si="78"/>
        <v>#N/A</v>
      </c>
      <c r="G83" s="361" t="str">
        <f t="shared" si="78"/>
        <v/>
      </c>
      <c r="H83" s="360" t="e">
        <f t="shared" si="78"/>
        <v>#N/A</v>
      </c>
      <c r="I83" s="361" t="str">
        <f t="shared" si="78"/>
        <v/>
      </c>
      <c r="J83" s="360" t="e">
        <f t="shared" si="78"/>
        <v>#N/A</v>
      </c>
      <c r="K83" s="361" t="str">
        <f t="shared" si="78"/>
        <v/>
      </c>
      <c r="L83" s="360" t="e">
        <f t="shared" si="79"/>
        <v>#N/A</v>
      </c>
      <c r="M83" s="361" t="str">
        <f t="shared" si="79"/>
        <v/>
      </c>
      <c r="N83" s="362"/>
      <c r="O83" s="362"/>
      <c r="S83" s="4"/>
      <c r="T83" s="1"/>
      <c r="U83" s="360" t="e">
        <f>VLOOKUP(U82,Schlüssel!$A$5:$K$10,2)</f>
        <v>#N/A</v>
      </c>
      <c r="V83" s="361"/>
      <c r="W83" s="360" t="e">
        <f>VLOOKUP(W82,Schlüssel!$A$5:$K$10,2)</f>
        <v>#N/A</v>
      </c>
      <c r="X83" s="361"/>
      <c r="Y83" s="360" t="e">
        <f>VLOOKUP(Y82,Schlüssel!$A$5:$K$10,2)</f>
        <v>#N/A</v>
      </c>
      <c r="Z83" s="361"/>
      <c r="AA83" s="360" t="e">
        <f>VLOOKUP(AA82,Schlüssel!$A$5:$K$10,2)</f>
        <v>#N/A</v>
      </c>
      <c r="AB83" s="361"/>
      <c r="AC83" s="360" t="e">
        <f>VLOOKUP(AC82,Schlüssel!$A$5:$K$10,2)</f>
        <v>#N/A</v>
      </c>
      <c r="AD83" s="361"/>
      <c r="AE83" s="360" t="e">
        <f>VLOOKUP(AE82,Schlüssel!$A$5:$K$10,2)</f>
        <v>#N/A</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5" t="str">
        <f t="shared" si="78"/>
        <v/>
      </c>
      <c r="E84" s="365" t="str">
        <f t="shared" si="78"/>
        <v/>
      </c>
      <c r="F84" s="365" t="str">
        <f t="shared" si="78"/>
        <v/>
      </c>
      <c r="G84" s="365" t="str">
        <f t="shared" si="78"/>
        <v/>
      </c>
      <c r="H84" s="365" t="str">
        <f t="shared" si="78"/>
        <v/>
      </c>
      <c r="I84" s="365" t="str">
        <f t="shared" si="78"/>
        <v/>
      </c>
      <c r="J84" s="365" t="str">
        <f t="shared" si="78"/>
        <v/>
      </c>
      <c r="K84" s="365" t="str">
        <f t="shared" si="78"/>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t="e">
        <f>IF(U85=301,"",U85)</f>
        <v>#N/A</v>
      </c>
      <c r="E85" s="346" t="str">
        <f>IF(V85=0,"",V85)</f>
        <v/>
      </c>
      <c r="F85" s="346" t="e">
        <f>IF(W85=301,"",W85)</f>
        <v>#N/A</v>
      </c>
      <c r="G85" s="346" t="str">
        <f>IF(X85=0,"",X85)</f>
        <v/>
      </c>
      <c r="H85" s="346" t="e">
        <f>IF(Y85=301,"",Y85)</f>
        <v>#N/A</v>
      </c>
      <c r="I85" s="346" t="str">
        <f>IF(Z85=0,"",Z85)</f>
        <v/>
      </c>
      <c r="J85" s="346" t="e">
        <f>IF(AA85=301,"",AA85)</f>
        <v>#N/A</v>
      </c>
      <c r="K85" s="346" t="str">
        <f>IF(AB85=0,"",AB85)</f>
        <v/>
      </c>
      <c r="L85" s="346" t="e">
        <f>IF(AC85=301,"",AC85)</f>
        <v>#N/A</v>
      </c>
      <c r="M85" s="346" t="str">
        <f>IF(AD85=0,"",AD85)</f>
        <v/>
      </c>
      <c r="N85" s="354"/>
      <c r="O85" s="354"/>
      <c r="S85" s="35" t="s">
        <v>0</v>
      </c>
      <c r="T85" s="36"/>
      <c r="U85" s="374" t="e">
        <f>ABS(INDEX(U:U,MATCH(U82,$S:$S,0)+5)+INDEX(U:U,MATCH(U82,$S:$S,0)+6)+INDEX(U:U,MATCH(U82,$S:$S,0)+7))</f>
        <v>#N/A</v>
      </c>
      <c r="V85" s="375"/>
      <c r="W85" s="374" t="e">
        <f>ABS(INDEX(W:W,MATCH(W82,$S:$S,0)+5)+INDEX(W:W,MATCH(W82,$S:$S,0)+6)+INDEX(W:W,MATCH(W82,$S:$S,0)+7))</f>
        <v>#N/A</v>
      </c>
      <c r="X85" s="375"/>
      <c r="Y85" s="374" t="e">
        <f>ABS(INDEX(Y:Y,MATCH(Y82,$S:$S,0)+5)+INDEX(Y:Y,MATCH(Y82,$S:$S,0)+6)+INDEX(Y:Y,MATCH(Y82,$S:$S,0)+7))</f>
        <v>#N/A</v>
      </c>
      <c r="Z85" s="375"/>
      <c r="AA85" s="374" t="e">
        <f>ABS(INDEX(AA:AA,MATCH(AA82,$S:$S,0)+5)+INDEX(AA:AA,MATCH(AA82,$S:$S,0)+6)+INDEX(AA:AA,MATCH(AA82,$S:$S,0)+7))</f>
        <v>#N/A</v>
      </c>
      <c r="AB85" s="375"/>
      <c r="AC85" s="374" t="e">
        <f>ABS(INDEX(AC:AC,MATCH(AC82,$S:$S,0)+5)+INDEX(AC:AC,MATCH(AC82,$S:$S,0)+6)+INDEX(AC:AC,MATCH(AC82,$S:$S,0)+7))</f>
        <v>#N/A</v>
      </c>
      <c r="AD85" s="375"/>
      <c r="AE85" s="374" t="e">
        <f>ABS(INDEX(AE:AE,MATCH(AE82,$S:$S,0)+5)+INDEX(AE:AE,MATCH(AE82,$S:$S,0)+6)+INDEX(AE:AE,MATCH(AE82,$S:$S,0)+7))</f>
        <v>#N/A</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t="e">
        <f>IF(U86=301,"",U86)</f>
        <v>#N/A</v>
      </c>
      <c r="E86" s="346" t="str">
        <f>IF(V86=0,"",V86)</f>
        <v/>
      </c>
      <c r="F86" s="346" t="e">
        <f>IF(W86=301,"",W86)</f>
        <v>#N/A</v>
      </c>
      <c r="G86" s="346" t="str">
        <f>IF(X86=0,"",X86)</f>
        <v/>
      </c>
      <c r="H86" s="346" t="e">
        <f>IF(Y86=301,"",Y86)</f>
        <v>#N/A</v>
      </c>
      <c r="I86" s="346" t="str">
        <f>IF(Z86=0,"",Z86)</f>
        <v/>
      </c>
      <c r="J86" s="346" t="e">
        <f>IF(AA86=301,"",AA86)</f>
        <v>#N/A</v>
      </c>
      <c r="K86" s="346" t="str">
        <f>IF(AB86=0,"",AB86)</f>
        <v/>
      </c>
      <c r="L86" s="346" t="e">
        <f>IF(AC86=301,"",AC86)</f>
        <v>#N/A</v>
      </c>
      <c r="M86" s="346" t="str">
        <f>IF(AD86=0,"",AD86)</f>
        <v/>
      </c>
      <c r="N86" s="354"/>
      <c r="O86" s="354"/>
      <c r="S86" s="35" t="s">
        <v>2</v>
      </c>
      <c r="T86" s="36"/>
      <c r="U86" s="376" t="e">
        <f>ABS(INDEX(U:U,MATCH(U82,$S:$S,0)+8)+INDEX(U:U,MATCH(U82,$S:$S,0)+9)+INDEX(U:U,MATCH(U82,$S:$S,0)+10))</f>
        <v>#N/A</v>
      </c>
      <c r="V86" s="377"/>
      <c r="W86" s="376" t="e">
        <f>ABS(INDEX(W:W,MATCH(W82,$S:$S,0)+8)+INDEX(W:W,MATCH(W82,$S:$S,0)+9)+INDEX(W:W,MATCH(W82,$S:$S,0)+10))</f>
        <v>#N/A</v>
      </c>
      <c r="X86" s="377"/>
      <c r="Y86" s="376" t="e">
        <f>ABS(INDEX(Y:Y,MATCH(Y82,$S:$S,0)+8)+INDEX(Y:Y,MATCH(Y82,$S:$S,0)+9)+INDEX(Y:Y,MATCH(Y82,$S:$S,0)+10))</f>
        <v>#N/A</v>
      </c>
      <c r="Z86" s="377"/>
      <c r="AA86" s="376" t="e">
        <f>ABS(INDEX(AA:AA,MATCH(AA82,$S:$S,0)+8)+INDEX(AA:AA,MATCH(AA82,$S:$S,0)+9)+INDEX(AA:AA,MATCH(AA82,$S:$S,0)+10))</f>
        <v>#N/A</v>
      </c>
      <c r="AB86" s="377"/>
      <c r="AC86" s="376" t="e">
        <f>ABS(INDEX(AC:AC,MATCH(AC82,$S:$S,0)+8)+INDEX(AC:AC,MATCH(AC82,$S:$S,0)+9)+INDEX(AC:AC,MATCH(AC82,$S:$S,0)+10))</f>
        <v>#N/A</v>
      </c>
      <c r="AD86" s="377"/>
      <c r="AE86" s="376" t="e">
        <f>ABS(INDEX(AE:AE,MATCH(AE82,$S:$S,0)+8)+INDEX(AE:AE,MATCH(AE82,$S:$S,0)+9)+INDEX(AE:AE,MATCH(AE82,$S:$S,0)+10))</f>
        <v>#N/A</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t="e">
        <f>IF(U87=301,"",U87)</f>
        <v>#N/A</v>
      </c>
      <c r="E87" s="346" t="str">
        <f>IF(V87=0,"",V87)</f>
        <v/>
      </c>
      <c r="F87" s="346" t="e">
        <f>IF(W87=301,"",W87)</f>
        <v>#N/A</v>
      </c>
      <c r="G87" s="346" t="str">
        <f>IF(X87=0,"",X87)</f>
        <v/>
      </c>
      <c r="H87" s="346" t="e">
        <f>IF(Y87=301,"",Y87)</f>
        <v>#N/A</v>
      </c>
      <c r="I87" s="346" t="str">
        <f>IF(Z87=0,"",Z87)</f>
        <v/>
      </c>
      <c r="J87" s="346" t="e">
        <f>IF(AA87=301,"",AA87)</f>
        <v>#N/A</v>
      </c>
      <c r="K87" s="346" t="str">
        <f>IF(AB87=0,"",AB87)</f>
        <v/>
      </c>
      <c r="L87" s="346" t="e">
        <f>IF(AC87=301,"",AC87)</f>
        <v>#N/A</v>
      </c>
      <c r="M87" s="346" t="str">
        <f>IF(AD87=0,"",AD87)</f>
        <v/>
      </c>
      <c r="N87" s="354"/>
      <c r="O87" s="354"/>
      <c r="S87" s="35" t="s">
        <v>3</v>
      </c>
      <c r="T87" s="36"/>
      <c r="U87" s="376" t="e">
        <f>ABS(INDEX(U:U,MATCH(U82,$S:$S,0)+11)+INDEX(U:U,MATCH(U82,$S:$S,0)+12)+INDEX(U:U,MATCH(U82,$S:$S,0)+13))</f>
        <v>#N/A</v>
      </c>
      <c r="V87" s="377"/>
      <c r="W87" s="376" t="e">
        <f>ABS(INDEX(W:W,MATCH(W82,$S:$S,0)+11)+INDEX(W:W,MATCH(W82,$S:$S,0)+12)+INDEX(W:W,MATCH(W82,$S:$S,0)+13))</f>
        <v>#N/A</v>
      </c>
      <c r="X87" s="377"/>
      <c r="Y87" s="376" t="e">
        <f>ABS(INDEX(Y:Y,MATCH(Y82,$S:$S,0)+11)+INDEX(Y:Y,MATCH(Y82,$S:$S,0)+12)+INDEX(Y:Y,MATCH(Y82,$S:$S,0)+13))</f>
        <v>#N/A</v>
      </c>
      <c r="Z87" s="377"/>
      <c r="AA87" s="376" t="e">
        <f>ABS(INDEX(AA:AA,MATCH(AA82,$S:$S,0)+11)+INDEX(AA:AA,MATCH(AA82,$S:$S,0)+12)+INDEX(AA:AA,MATCH(AA82,$S:$S,0)+13))</f>
        <v>#N/A</v>
      </c>
      <c r="AB87" s="377"/>
      <c r="AC87" s="376" t="e">
        <f>ABS(INDEX(AC:AC,MATCH(AC82,$S:$S,0)+11)+INDEX(AC:AC,MATCH(AC82,$S:$S,0)+12)+INDEX(AC:AC,MATCH(AC82,$S:$S,0)+13))</f>
        <v>#N/A</v>
      </c>
      <c r="AD87" s="377"/>
      <c r="AE87" s="376" t="e">
        <f>ABS(INDEX(AE:AE,MATCH(AE82,$S:$S,0)+11)+INDEX(AE:AE,MATCH(AE82,$S:$S,0)+12)+INDEX(AE:AE,MATCH(AE82,$S:$S,0)+13))</f>
        <v>#N/A</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t="e">
        <f>IF(U88=301,"",U88)</f>
        <v>#N/A</v>
      </c>
      <c r="E88" s="346" t="str">
        <f>IF(V88=0,"",V88)</f>
        <v/>
      </c>
      <c r="F88" s="346" t="e">
        <f>IF(W88=301,"",W88)</f>
        <v>#N/A</v>
      </c>
      <c r="G88" s="346" t="str">
        <f>IF(X88=0,"",X88)</f>
        <v/>
      </c>
      <c r="H88" s="346" t="e">
        <f>IF(Y88=301,"",Y88)</f>
        <v>#N/A</v>
      </c>
      <c r="I88" s="346" t="str">
        <f>IF(Z88=0,"",Z88)</f>
        <v/>
      </c>
      <c r="J88" s="346" t="e">
        <f>IF(AA88=301,"",AA88)</f>
        <v>#N/A</v>
      </c>
      <c r="K88" s="346" t="str">
        <f>IF(AB88=0,"",AB88)</f>
        <v/>
      </c>
      <c r="L88" s="346" t="e">
        <f>IF(AC88=301,"",AC88)</f>
        <v>#N/A</v>
      </c>
      <c r="M88" s="346" t="str">
        <f>IF(AD88=0,"",AD88)</f>
        <v/>
      </c>
      <c r="N88" s="354"/>
      <c r="O88" s="354"/>
      <c r="S88" s="35" t="s">
        <v>11</v>
      </c>
      <c r="T88" s="36"/>
      <c r="U88" s="376" t="e">
        <f>ABS(INDEX(U:U,MATCH(U82,$S:$S,0)+14)+INDEX(U:U,MATCH(U82,$S:$S,0)+15)+INDEX(U:U,MATCH(U82,$S:$S,0)+16))</f>
        <v>#N/A</v>
      </c>
      <c r="V88" s="377"/>
      <c r="W88" s="376" t="e">
        <f>ABS(INDEX(W:W,MATCH(W82,$S:$S,0)+14)+INDEX(W:W,MATCH(W82,$S:$S,0)+15)+INDEX(W:W,MATCH(W82,$S:$S,0)+16))</f>
        <v>#N/A</v>
      </c>
      <c r="X88" s="377"/>
      <c r="Y88" s="376" t="e">
        <f>ABS(INDEX(Y:Y,MATCH(Y82,$S:$S,0)+14)+INDEX(Y:Y,MATCH(Y82,$S:$S,0)+15)+INDEX(Y:Y,MATCH(Y82,$S:$S,0)+16))</f>
        <v>#N/A</v>
      </c>
      <c r="Z88" s="377"/>
      <c r="AA88" s="376" t="e">
        <f>ABS(INDEX(AA:AA,MATCH(AA82,$S:$S,0)+14)+INDEX(AA:AA,MATCH(AA82,$S:$S,0)+15)+INDEX(AA:AA,MATCH(AA82,$S:$S,0)+16))</f>
        <v>#N/A</v>
      </c>
      <c r="AB88" s="377"/>
      <c r="AC88" s="376" t="e">
        <f>ABS(INDEX(AC:AC,MATCH(AC82,$S:$S,0)+14)+INDEX(AC:AC,MATCH(AC82,$S:$S,0)+15)+INDEX(AC:AC,MATCH(AC82,$S:$S,0)+16))</f>
        <v>#N/A</v>
      </c>
      <c r="AD88" s="377"/>
      <c r="AE88" s="376" t="e">
        <f>ABS(INDEX(AE:AE,MATCH(AE82,$S:$S,0)+14)+INDEX(AE:AE,MATCH(AE82,$S:$S,0)+15)+INDEX(AE:AE,MATCH(AE82,$S:$S,0)+16))</f>
        <v>#N/A</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00"/>
      <c r="O89" s="300"/>
      <c r="S89" s="37" t="s">
        <v>1788</v>
      </c>
      <c r="T89" s="38"/>
      <c r="U89" s="348" t="e">
        <f>SUM(U85:U88)</f>
        <v>#N/A</v>
      </c>
      <c r="V89" s="349"/>
      <c r="W89" s="348" t="e">
        <f>SUM(W85:W88)</f>
        <v>#N/A</v>
      </c>
      <c r="X89" s="349"/>
      <c r="Y89" s="348" t="e">
        <f>SUM(Y85:Y88)</f>
        <v>#N/A</v>
      </c>
      <c r="Z89" s="349"/>
      <c r="AA89" s="348" t="e">
        <f>SUM(AA85:AA88)</f>
        <v>#N/A</v>
      </c>
      <c r="AB89" s="349"/>
      <c r="AC89" s="348" t="e">
        <f>SUM(AC85:AC88)</f>
        <v>#N/A</v>
      </c>
      <c r="AD89" s="349"/>
      <c r="AE89" s="348" t="e">
        <f>SUM(AE85:AE88)</f>
        <v>#N/A</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9.6999999999999995E-8</v>
      </c>
      <c r="BR97" s="223" t="str">
        <f>+S93</f>
        <v>Mainauenbowler Bayreuth Land</v>
      </c>
      <c r="BS97" s="223">
        <f t="shared" ref="BS97:BS108" si="99">RANK(BQ97,BQ:BQ)</f>
        <v>12</v>
      </c>
      <c r="BT97" s="223">
        <f>SUMIF(BH97:BM97,"&gt;0")</f>
        <v>0</v>
      </c>
      <c r="BU97" s="223">
        <f>IF(COUNTIF(BH97:BM97,"&gt;0")&lt;Spielorte!$A$23,0,BE97/Spielorte!$A$23)</f>
        <v>0</v>
      </c>
      <c r="BV97" s="223">
        <f>IF(BU97&lt;MAX(BU:BU),0,BU97+ROW()/1000000000)</f>
        <v>9.6999999999999995E-8</v>
      </c>
      <c r="BW97" s="223">
        <f>IF(BV97=0,0,RANK(BV97,BV:BV))</f>
        <v>12</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9.8000000000000004E-8</v>
      </c>
      <c r="BR98" s="223" t="str">
        <f t="shared" ref="BR98:BR108" si="101">+BR97</f>
        <v>Mainauenbowler Bayreuth Land</v>
      </c>
      <c r="BS98" s="223">
        <f t="shared" si="99"/>
        <v>11</v>
      </c>
      <c r="BT98" s="223">
        <f t="shared" ref="BT98:BT108" si="102">SUMIF(BH98:BM98,"&gt;0")</f>
        <v>0</v>
      </c>
      <c r="BU98" s="223">
        <f>IF(COUNTIF(BH98:BM98,"&gt;0")&lt;Spielorte!$A$23,0,BE98/Spielorte!$A$23)</f>
        <v>0</v>
      </c>
      <c r="BV98" s="223">
        <f t="shared" ref="BV98:BV108" si="103">IF(BU98&lt;MAX(BU:BU),0,BU98+ROW()/1000000000)</f>
        <v>9.8000000000000004E-8</v>
      </c>
      <c r="BW98" s="223">
        <f t="shared" ref="BW98:BW108" si="104">IF(BV98=0,0,RANK(BV98,BV:BV))</f>
        <v>11</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9.9E-8</v>
      </c>
      <c r="BR99" s="223" t="str">
        <f t="shared" si="101"/>
        <v>Mainauenbowler Bayreuth Land</v>
      </c>
      <c r="BS99" s="223">
        <f t="shared" si="99"/>
        <v>10</v>
      </c>
      <c r="BT99" s="223">
        <f t="shared" si="102"/>
        <v>0</v>
      </c>
      <c r="BU99" s="223">
        <f>IF(COUNTIF(BH99:BM99,"&gt;0")&lt;Spielorte!$A$23,0,BE99/Spielorte!$A$23)</f>
        <v>0</v>
      </c>
      <c r="BV99" s="223">
        <f t="shared" si="103"/>
        <v>9.9E-8</v>
      </c>
      <c r="BW99" s="223">
        <f t="shared" si="104"/>
        <v>10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9.9999999999999995E-8</v>
      </c>
      <c r="BR100" s="223" t="str">
        <f t="shared" si="101"/>
        <v>Mainauenbowler Bayreuth Land</v>
      </c>
      <c r="BS100" s="223">
        <f t="shared" si="99"/>
        <v>9</v>
      </c>
      <c r="BT100" s="223">
        <f t="shared" si="102"/>
        <v>0</v>
      </c>
      <c r="BU100" s="223">
        <f>IF(COUNTIF(BH100:BM100,"&gt;0")&lt;Spielorte!$A$23,0,BE100/Spielorte!$A$23)</f>
        <v>0</v>
      </c>
      <c r="BV100" s="223">
        <f t="shared" si="103"/>
        <v>9.9999999999999995E-8</v>
      </c>
      <c r="BW100" s="223">
        <f t="shared" si="104"/>
        <v>9</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1.01E-7</v>
      </c>
      <c r="BR101" s="223" t="str">
        <f t="shared" si="101"/>
        <v>Mainauenbowler Bayreuth Land</v>
      </c>
      <c r="BS101" s="223">
        <f t="shared" si="99"/>
        <v>8</v>
      </c>
      <c r="BT101" s="223">
        <f t="shared" si="102"/>
        <v>0</v>
      </c>
      <c r="BU101" s="223">
        <f>IF(COUNTIF(BH101:BM101,"&gt;0")&lt;Spielorte!$A$23,0,BE101/Spielorte!$A$23)</f>
        <v>0</v>
      </c>
      <c r="BV101" s="223">
        <f t="shared" si="103"/>
        <v>1.01E-7</v>
      </c>
      <c r="BW101" s="223">
        <f t="shared" si="104"/>
        <v>8</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1.02E-7</v>
      </c>
      <c r="BR102" s="223" t="str">
        <f t="shared" si="101"/>
        <v>Mainauenbowler Bayreuth Land</v>
      </c>
      <c r="BS102" s="223">
        <f t="shared" si="99"/>
        <v>7</v>
      </c>
      <c r="BT102" s="223">
        <f t="shared" si="102"/>
        <v>0</v>
      </c>
      <c r="BU102" s="223">
        <f>IF(COUNTIF(BH102:BM102,"&gt;0")&lt;Spielorte!$A$23,0,BE102/Spielorte!$A$23)</f>
        <v>0</v>
      </c>
      <c r="BV102" s="223">
        <f t="shared" si="103"/>
        <v>1.02E-7</v>
      </c>
      <c r="BW102" s="223">
        <f t="shared" si="104"/>
        <v>7</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1.03E-7</v>
      </c>
      <c r="BR103" s="223" t="str">
        <f t="shared" si="101"/>
        <v>Mainauenbowler Bayreuth Land</v>
      </c>
      <c r="BS103" s="223">
        <f t="shared" si="99"/>
        <v>6</v>
      </c>
      <c r="BT103" s="223">
        <f t="shared" si="102"/>
        <v>0</v>
      </c>
      <c r="BU103" s="223">
        <f>IF(COUNTIF(BH103:BM103,"&gt;0")&lt;Spielorte!$A$23,0,BE103/Spielorte!$A$23)</f>
        <v>0</v>
      </c>
      <c r="BV103" s="223">
        <f t="shared" si="103"/>
        <v>1.03E-7</v>
      </c>
      <c r="BW103" s="223">
        <f t="shared" si="104"/>
        <v>6</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1.04E-7</v>
      </c>
      <c r="BR104" s="223" t="str">
        <f t="shared" si="101"/>
        <v>Mainauenbowler Bayreuth Land</v>
      </c>
      <c r="BS104" s="223">
        <f t="shared" si="99"/>
        <v>5</v>
      </c>
      <c r="BT104" s="223">
        <f t="shared" si="102"/>
        <v>0</v>
      </c>
      <c r="BU104" s="223">
        <f>IF(COUNTIF(BH104:BM104,"&gt;0")&lt;Spielorte!$A$23,0,BE104/Spielorte!$A$23)</f>
        <v>0</v>
      </c>
      <c r="BV104" s="223">
        <f t="shared" si="103"/>
        <v>1.04E-7</v>
      </c>
      <c r="BW104" s="223">
        <f t="shared" si="104"/>
        <v>5</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1.05E-7</v>
      </c>
      <c r="BR105" s="223" t="str">
        <f t="shared" si="101"/>
        <v>Mainauenbowler Bayreuth Land</v>
      </c>
      <c r="BS105" s="223">
        <f t="shared" si="99"/>
        <v>4</v>
      </c>
      <c r="BT105" s="223">
        <f t="shared" si="102"/>
        <v>0</v>
      </c>
      <c r="BU105" s="223">
        <f>IF(COUNTIF(BH105:BM105,"&gt;0")&lt;Spielorte!$A$23,0,BE105/Spielorte!$A$23)</f>
        <v>0</v>
      </c>
      <c r="BV105" s="223">
        <f t="shared" si="103"/>
        <v>1.05E-7</v>
      </c>
      <c r="BW105" s="223">
        <f t="shared" si="104"/>
        <v>4</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1.06E-7</v>
      </c>
      <c r="BR106" s="223" t="str">
        <f t="shared" si="101"/>
        <v>Mainauenbowler Bayreuth Land</v>
      </c>
      <c r="BS106" s="223">
        <f t="shared" si="99"/>
        <v>3</v>
      </c>
      <c r="BT106" s="223">
        <f t="shared" si="102"/>
        <v>0</v>
      </c>
      <c r="BU106" s="223">
        <f>IF(COUNTIF(BH106:BM106,"&gt;0")&lt;Spielorte!$A$23,0,BE106/Spielorte!$A$23)</f>
        <v>0</v>
      </c>
      <c r="BV106" s="223">
        <f t="shared" si="103"/>
        <v>1.06E-7</v>
      </c>
      <c r="BW106" s="223">
        <f t="shared" si="104"/>
        <v>3</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1.0700000000000001E-7</v>
      </c>
      <c r="BR107" s="223" t="str">
        <f t="shared" si="101"/>
        <v>Mainauenbowler Bayreuth Land</v>
      </c>
      <c r="BS107" s="223">
        <f t="shared" si="99"/>
        <v>2</v>
      </c>
      <c r="BT107" s="223">
        <f t="shared" si="102"/>
        <v>0</v>
      </c>
      <c r="BU107" s="223">
        <f>IF(COUNTIF(BH107:BM107,"&gt;0")&lt;Spielorte!$A$23,0,BE107/Spielorte!$A$23)</f>
        <v>0</v>
      </c>
      <c r="BV107" s="223">
        <f t="shared" si="103"/>
        <v>1.0700000000000001E-7</v>
      </c>
      <c r="BW107" s="223">
        <f t="shared" si="104"/>
        <v>2</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1.08E-7</v>
      </c>
      <c r="BR108" s="223" t="str">
        <f t="shared" si="101"/>
        <v>Mainauenbowler Bayreuth Land</v>
      </c>
      <c r="BS108" s="223">
        <f t="shared" si="99"/>
        <v>1</v>
      </c>
      <c r="BT108" s="223">
        <f t="shared" si="102"/>
        <v>0</v>
      </c>
      <c r="BU108" s="223">
        <f>IF(COUNTIF(BH108:BM108,"&gt;0")&lt;Spielorte!$A$23,0,BE108/Spielorte!$A$23)</f>
        <v>0</v>
      </c>
      <c r="BV108" s="223">
        <f t="shared" si="103"/>
        <v>1.08E-7</v>
      </c>
      <c r="BW108" s="223">
        <f t="shared" si="104"/>
        <v>1</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1</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57:V57"/>
    <mergeCell ref="W57:X57"/>
    <mergeCell ref="Y57:Z57"/>
    <mergeCell ref="AA57:AB57"/>
    <mergeCell ref="AC57:AD57"/>
    <mergeCell ref="U58:V58"/>
    <mergeCell ref="W58:X58"/>
    <mergeCell ref="Y58:Z58"/>
    <mergeCell ref="AA58:AB58"/>
    <mergeCell ref="AC58:AD58"/>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28:V28"/>
    <mergeCell ref="W28:X28"/>
    <mergeCell ref="Y28:Z28"/>
    <mergeCell ref="AA28:AB28"/>
    <mergeCell ref="AC28:AD28"/>
    <mergeCell ref="U29:V29"/>
    <mergeCell ref="W29:X29"/>
    <mergeCell ref="Y29:Z29"/>
    <mergeCell ref="AA29:AB29"/>
    <mergeCell ref="AC29:AD29"/>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A7:A9"/>
    <mergeCell ref="E7:E9"/>
    <mergeCell ref="G7:G9"/>
    <mergeCell ref="I7:I9"/>
    <mergeCell ref="K7:K9"/>
    <mergeCell ref="M7:M9"/>
    <mergeCell ref="A10:A12"/>
    <mergeCell ref="E10:E12"/>
    <mergeCell ref="G10:G12"/>
    <mergeCell ref="I10:I12"/>
    <mergeCell ref="K10:K12"/>
    <mergeCell ref="M10:M12"/>
    <mergeCell ref="A13:A15"/>
    <mergeCell ref="E13:E15"/>
    <mergeCell ref="G13:G15"/>
    <mergeCell ref="I13:I15"/>
    <mergeCell ref="K13:K15"/>
    <mergeCell ref="M13:M15"/>
    <mergeCell ref="A16:A18"/>
    <mergeCell ref="E16:E18"/>
    <mergeCell ref="G16:G18"/>
    <mergeCell ref="I16:I18"/>
    <mergeCell ref="K16:K18"/>
    <mergeCell ref="M16:M18"/>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D24:E24"/>
    <mergeCell ref="F24:G24"/>
    <mergeCell ref="H24:I24"/>
    <mergeCell ref="J24:K24"/>
    <mergeCell ref="L24:M24"/>
    <mergeCell ref="N24:O24"/>
    <mergeCell ref="B25:C25"/>
    <mergeCell ref="D25:E25"/>
    <mergeCell ref="F25:G25"/>
    <mergeCell ref="H25:I25"/>
    <mergeCell ref="J25:K25"/>
    <mergeCell ref="L25:M2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R46:R48"/>
    <mergeCell ref="F55:G55"/>
    <mergeCell ref="H55:I55"/>
    <mergeCell ref="J55:K55"/>
    <mergeCell ref="L55:M55"/>
    <mergeCell ref="N52:O52"/>
    <mergeCell ref="D53:E53"/>
    <mergeCell ref="F53:G53"/>
    <mergeCell ref="H53:I53"/>
    <mergeCell ref="J53:K53"/>
    <mergeCell ref="L53:M53"/>
    <mergeCell ref="L54:M54"/>
    <mergeCell ref="N54:O54"/>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B56:C56"/>
    <mergeCell ref="D56:E56"/>
    <mergeCell ref="F56:G56"/>
    <mergeCell ref="H56:I56"/>
    <mergeCell ref="J56:K56"/>
    <mergeCell ref="D54:E54"/>
    <mergeCell ref="F54:G54"/>
    <mergeCell ref="H54:I54"/>
    <mergeCell ref="J54:K54"/>
    <mergeCell ref="B55:C55"/>
    <mergeCell ref="D55:E55"/>
    <mergeCell ref="B58:C58"/>
    <mergeCell ref="D58:E58"/>
    <mergeCell ref="F58:G58"/>
    <mergeCell ref="H58:I58"/>
    <mergeCell ref="J58:K58"/>
    <mergeCell ref="L58:M58"/>
    <mergeCell ref="N58:O58"/>
    <mergeCell ref="B57:C57"/>
    <mergeCell ref="D57:E57"/>
    <mergeCell ref="F57:G57"/>
    <mergeCell ref="H57:I57"/>
    <mergeCell ref="J57:K57"/>
    <mergeCell ref="L57:M57"/>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AE22:AF22"/>
    <mergeCell ref="AE23:AF23"/>
    <mergeCell ref="AE25:AF25"/>
    <mergeCell ref="AE26:AF26"/>
    <mergeCell ref="AE27:AF27"/>
    <mergeCell ref="AE28:AF28"/>
    <mergeCell ref="AE29:AF29"/>
    <mergeCell ref="AE52:AF52"/>
    <mergeCell ref="AD31:AH31"/>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topLeftCell="E1" workbookViewId="0">
      <selection activeCell="C9" sqref="A7: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+Erfassung4!AD1</f>
        <v>16.03.</v>
      </c>
      <c r="Q1" s="390"/>
      <c r="R1" s="51"/>
      <c r="S1" s="51"/>
      <c r="AA1" s="223" t="s">
        <v>2086</v>
      </c>
    </row>
    <row r="2" spans="1:31" ht="28.5" customHeight="1" x14ac:dyDescent="0.25">
      <c r="A2" s="391" t="str">
        <f>"Saison "&amp;Spielorte!C18&amp;"     -     Spieltag "&amp;Erfassung4!AD2&amp;"     -     "&amp;TEXT(Erfassung4!AD1,"T. MMMM JJJJ")</f>
        <v>Saison 2024/2025     -     Spieltag 4     -     16.03.</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+Erfassung4!V2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Kleeblatt Fürth</v>
      </c>
      <c r="C7" s="99">
        <f>INDEX(Erfassung4!U:U,MATCH($A7,Erfassung4!$BO:$BO,0)-1)</f>
        <v>0</v>
      </c>
      <c r="D7" s="100">
        <f>INDEX(Erfassung4!V:V,MATCH($A7,Erfassung4!$BO:$BO,0))</f>
        <v>0</v>
      </c>
      <c r="E7" s="99">
        <f>INDEX(Erfassung4!W:W,MATCH($A7,Erfassung4!$BO:$BO,0)-1)</f>
        <v>0</v>
      </c>
      <c r="F7" s="100">
        <f>INDEX(Erfassung4!X:X,MATCH($A7,Erfassung4!$BO:$BO,0))</f>
        <v>0</v>
      </c>
      <c r="G7" s="99">
        <f>INDEX(Erfassung4!Y:Y,MATCH($A7,Erfassung4!$BO:$BO,0)-1)</f>
        <v>0</v>
      </c>
      <c r="H7" s="100">
        <f>INDEX(Erfassung4!Z:Z,MATCH($A7,Erfassung4!$BO:$BO,0))</f>
        <v>0</v>
      </c>
      <c r="I7" s="99">
        <f>INDEX(Erfassung4!AA:AA,MATCH($A7,Erfassung4!$BO:$BO,0)-1)</f>
        <v>0</v>
      </c>
      <c r="J7" s="100">
        <f>INDEX(Erfassung4!AB:AB,MATCH($A7,Erfassung4!$BO:$BO,0))</f>
        <v>0</v>
      </c>
      <c r="K7" s="99">
        <f>INDEX(Erfassung4!AC:AC,MATCH($A7,Erfassung4!$BO:$BO,0)-1)</f>
        <v>0</v>
      </c>
      <c r="L7" s="100">
        <f>INDEX(Erfassung4!AD:AD,MATCH($A7,Erfassung4!$BO:$BO,0))</f>
        <v>0</v>
      </c>
      <c r="M7" s="99">
        <f>INDEX(Erfassung4!AE:AE,MATCH($A7,Erfassung4!$BO:$BO,0)-1)</f>
        <v>0</v>
      </c>
      <c r="N7" s="100">
        <f>INDEX(Erfassung4!AF:AF,MATCH($A7,Erfassung4!$BO:$BO,0))</f>
        <v>0</v>
      </c>
      <c r="O7" s="101">
        <f t="shared" ref="O7:P9" si="0">SUM(C7+E7+G7+I7+K7+M7)</f>
        <v>0</v>
      </c>
      <c r="P7" s="102">
        <f t="shared" si="0"/>
        <v>0</v>
      </c>
      <c r="Q7" s="75">
        <f>IFERROR(O7/INDEX(Erfassung4!BF:BF,MATCH(A7,Erfassung4!BO:BO,0)),0)</f>
        <v>0</v>
      </c>
      <c r="R7" s="122"/>
      <c r="S7" s="51"/>
      <c r="AA7" s="221" t="e">
        <f>INDEX(TabGes3!I:I,MATCH(B7,TabGes3!B:B,0))+O7</f>
        <v>#N/A</v>
      </c>
      <c r="AB7" s="221">
        <f>IFERROR(INDEX(TabGes3!J:J,MATCH(B7,TabGes3!B:B,0)),0)+IFERROR(P7,0)</f>
        <v>0</v>
      </c>
      <c r="AC7" s="223" t="e">
        <f>+AB7+AA7/1000000000</f>
        <v>#N/A</v>
      </c>
      <c r="AD7" s="223" t="e">
        <f>RANK(AC7,AC:AC)</f>
        <v>#N/A</v>
      </c>
      <c r="AE7" s="223">
        <f>INDEX(Tabelle3!AE:AE,MATCH(B7,Tabelle3!B:B,0))+SUMIF(Erfassung4!BR:BR,B7,Erfassung4!BF:BF)</f>
        <v>49</v>
      </c>
    </row>
    <row r="8" spans="1:31" ht="42" customHeight="1" thickBot="1" x14ac:dyDescent="0.3">
      <c r="A8" s="217">
        <v>2</v>
      </c>
      <c r="B8" s="121" t="e">
        <f>INDEX(Erfassung4!$S:$S,MATCH($A8,Erfassung4!$BO:$BO,0)-17)</f>
        <v>#N/A</v>
      </c>
      <c r="C8" s="99" t="e">
        <f>INDEX(Erfassung4!U:U,MATCH($A8,Erfassung4!$BO:$BO,0)-1)</f>
        <v>#N/A</v>
      </c>
      <c r="D8" s="100" t="e">
        <f>INDEX(Erfassung4!V:V,MATCH($A8,Erfassung4!$BO:$BO,0))</f>
        <v>#N/A</v>
      </c>
      <c r="E8" s="99" t="e">
        <f>INDEX(Erfassung4!W:W,MATCH($A8,Erfassung4!$BO:$BO,0)-1)</f>
        <v>#N/A</v>
      </c>
      <c r="F8" s="100" t="e">
        <f>INDEX(Erfassung4!X:X,MATCH($A8,Erfassung4!$BO:$BO,0))</f>
        <v>#N/A</v>
      </c>
      <c r="G8" s="99" t="e">
        <f>INDEX(Erfassung4!Y:Y,MATCH($A8,Erfassung4!$BO:$BO,0)-1)</f>
        <v>#N/A</v>
      </c>
      <c r="H8" s="100" t="e">
        <f>INDEX(Erfassung4!Z:Z,MATCH($A8,Erfassung4!$BO:$BO,0))</f>
        <v>#N/A</v>
      </c>
      <c r="I8" s="99" t="e">
        <f>INDEX(Erfassung4!AA:AA,MATCH($A8,Erfassung4!$BO:$BO,0)-1)</f>
        <v>#N/A</v>
      </c>
      <c r="J8" s="100" t="e">
        <f>INDEX(Erfassung4!AB:AB,MATCH($A8,Erfassung4!$BO:$BO,0))</f>
        <v>#N/A</v>
      </c>
      <c r="K8" s="99" t="e">
        <f>INDEX(Erfassung4!AC:AC,MATCH($A8,Erfassung4!$BO:$BO,0)-1)</f>
        <v>#N/A</v>
      </c>
      <c r="L8" s="100" t="e">
        <f>INDEX(Erfassung4!AD:AD,MATCH($A8,Erfassung4!$BO:$BO,0))</f>
        <v>#N/A</v>
      </c>
      <c r="M8" s="99" t="e">
        <f>INDEX(Erfassung4!AE:AE,MATCH($A8,Erfassung4!$BO:$BO,0)-1)</f>
        <v>#N/A</v>
      </c>
      <c r="N8" s="100" t="e">
        <f>INDEX(Erfassung4!AF:AF,MATCH($A8,Erfassung4!$BO:$BO,0))</f>
        <v>#N/A</v>
      </c>
      <c r="O8" s="101" t="e">
        <f t="shared" si="0"/>
        <v>#N/A</v>
      </c>
      <c r="P8" s="102" t="e">
        <f t="shared" si="0"/>
        <v>#N/A</v>
      </c>
      <c r="Q8" s="75">
        <f>IFERROR(O8/INDEX(Erfassung4!BF:BF,MATCH(A8,Erfassung4!BO:BO,0)),0)</f>
        <v>0</v>
      </c>
      <c r="R8" s="122"/>
      <c r="S8" s="51"/>
      <c r="AA8" s="221" t="e">
        <f>INDEX(TabGes3!I:I,MATCH(B8,TabGes3!B:B,0))+O8</f>
        <v>#N/A</v>
      </c>
      <c r="AB8" s="221">
        <f>IFERROR(INDEX(TabGes3!J:J,MATCH(B8,TabGes3!B:B,0)),0)+IFERROR(P8,0)</f>
        <v>0</v>
      </c>
      <c r="AC8" s="223" t="e">
        <f>+AB8+AA8/1000000000</f>
        <v>#N/A</v>
      </c>
      <c r="AD8" s="223" t="e">
        <f>RANK(AC8,AC:AC)</f>
        <v>#N/A</v>
      </c>
      <c r="AE8" s="223" t="e">
        <f>INDEX(Tabelle3!AE:AE,MATCH(B8,Tabelle3!B:B,0))+SUMIF(Erfassung4!BR:BR,B8,Erfassung4!BF:BF)</f>
        <v>#N/A</v>
      </c>
    </row>
    <row r="9" spans="1:31" ht="42" hidden="1" customHeight="1" thickBot="1" x14ac:dyDescent="0.3">
      <c r="A9" s="217">
        <v>3</v>
      </c>
      <c r="B9" s="121" t="e">
        <f>INDEX(Erfassung4!$S:$S,MATCH($A9,Erfassung4!$BO:$BO,0)-17)</f>
        <v>#N/A</v>
      </c>
      <c r="C9" s="99" t="e">
        <f>INDEX(Erfassung4!U:U,MATCH($A9,Erfassung4!$BO:$BO,0)-1)</f>
        <v>#N/A</v>
      </c>
      <c r="D9" s="100" t="e">
        <f>INDEX(Erfassung4!V:V,MATCH($A9,Erfassung4!$BO:$BO,0))</f>
        <v>#N/A</v>
      </c>
      <c r="E9" s="99" t="e">
        <f>INDEX(Erfassung4!W:W,MATCH($A9,Erfassung4!$BO:$BO,0)-1)</f>
        <v>#N/A</v>
      </c>
      <c r="F9" s="100" t="e">
        <f>INDEX(Erfassung4!X:X,MATCH($A9,Erfassung4!$BO:$BO,0))</f>
        <v>#N/A</v>
      </c>
      <c r="G9" s="99" t="e">
        <f>INDEX(Erfassung4!Y:Y,MATCH($A9,Erfassung4!$BO:$BO,0)-1)</f>
        <v>#N/A</v>
      </c>
      <c r="H9" s="100" t="e">
        <f>INDEX(Erfassung4!Z:Z,MATCH($A9,Erfassung4!$BO:$BO,0))</f>
        <v>#N/A</v>
      </c>
      <c r="I9" s="99" t="e">
        <f>INDEX(Erfassung4!AA:AA,MATCH($A9,Erfassung4!$BO:$BO,0)-1)</f>
        <v>#N/A</v>
      </c>
      <c r="J9" s="100" t="e">
        <f>INDEX(Erfassung4!AB:AB,MATCH($A9,Erfassung4!$BO:$BO,0))</f>
        <v>#N/A</v>
      </c>
      <c r="K9" s="99" t="e">
        <f>INDEX(Erfassung4!AC:AC,MATCH($A9,Erfassung4!$BO:$BO,0)-1)</f>
        <v>#N/A</v>
      </c>
      <c r="L9" s="100" t="e">
        <f>INDEX(Erfassung4!AD:AD,MATCH($A9,Erfassung4!$BO:$BO,0))</f>
        <v>#N/A</v>
      </c>
      <c r="M9" s="99" t="e">
        <f>INDEX(Erfassung4!AE:AE,MATCH($A9,Erfassung4!$BO:$BO,0)-1)</f>
        <v>#N/A</v>
      </c>
      <c r="N9" s="100" t="e">
        <f>INDEX(Erfassung4!AF:AF,MATCH($A9,Erfassung4!$BO:$BO,0))</f>
        <v>#N/A</v>
      </c>
      <c r="O9" s="101" t="e">
        <f t="shared" si="0"/>
        <v>#N/A</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IFERROR(INDEX(Erfassung4!S:S,MATCH(1,Erfassung4!BS:BS,0)),"")</f>
        <v/>
      </c>
      <c r="H14" t="str">
        <f>INDEX(Erfassung4!BR:BR,MATCH(C14,Erfassung4!S:S,0))</f>
        <v>Kleeblatt Fürth</v>
      </c>
      <c r="N14" s="104">
        <f>IFERROR(ROUND(INDEX(Erfassung4!BQ:BQ,MATCH(1,Erfassung4!BS:BS,0)),0),"")</f>
        <v>0</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
      </c>
      <c r="H17" t="str">
        <f>INDEX(Erfassung4!BR:BR,MATCH(C17,Erfassung4!S:S,0))</f>
        <v>Kleeblatt Fürth</v>
      </c>
      <c r="N17" s="381" t="str">
        <f>IFERROR(ROUND(INDEX(Erfassung4!BT:BT,MATCH(1,Erfassung4!BW:BW,0)),0),"")&amp;"  /  "&amp;ROUND(IFERROR(ROUND(INDEX(Erfassung4!BT:BT,MATCH(1,Erfassung4!BW:BW,0)),0),"")/6,2)</f>
        <v>0  /  0</v>
      </c>
      <c r="O17" s="381"/>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C13:H13"/>
    <mergeCell ref="N17:O17"/>
    <mergeCell ref="O5:P5"/>
    <mergeCell ref="Q5:Q6"/>
    <mergeCell ref="K5:L5"/>
    <mergeCell ref="B12:Q12"/>
    <mergeCell ref="A2:Q2"/>
    <mergeCell ref="A1:Q1"/>
    <mergeCell ref="A3:Q3"/>
    <mergeCell ref="A5:A6"/>
    <mergeCell ref="B5:B6"/>
    <mergeCell ref="C5:D5"/>
    <mergeCell ref="E5:F5"/>
    <mergeCell ref="G5:H5"/>
    <mergeCell ref="I5:J5"/>
    <mergeCell ref="M5:N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H18" sqref="H18"/>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90" t="str">
        <f>Schlüssel!$C$1</f>
        <v>Landesliga Nord Frauen</v>
      </c>
      <c r="B1" s="390"/>
      <c r="C1" s="390"/>
      <c r="D1" s="390"/>
      <c r="E1" s="390"/>
      <c r="F1" s="390"/>
      <c r="G1" s="390"/>
      <c r="H1" s="390"/>
      <c r="I1" s="390"/>
      <c r="J1" s="390"/>
      <c r="K1" s="390"/>
      <c r="L1" s="390"/>
      <c r="M1" s="390"/>
    </row>
    <row r="2" spans="1:14" ht="28.5" customHeight="1" x14ac:dyDescent="0.25">
      <c r="A2" s="391" t="str">
        <f>"Saison "&amp;Spielorte!C18&amp;"     -     Spieltag "&amp;Erfassung4!AD2&amp;"     -     "&amp;TEXT(Erfassung4!AD1,"T. MMMM JJJJ")</f>
        <v>Saison 2024/2025     -     Spieltag 4     -     16.03.</v>
      </c>
      <c r="B2" s="391"/>
      <c r="C2" s="391"/>
      <c r="D2" s="391"/>
      <c r="E2" s="391"/>
      <c r="F2" s="391"/>
      <c r="G2" s="391"/>
      <c r="H2" s="391"/>
      <c r="I2" s="391"/>
      <c r="J2" s="391"/>
      <c r="K2" s="391"/>
      <c r="L2" s="391"/>
      <c r="M2" s="391"/>
    </row>
    <row r="3" spans="1:14" ht="28.5" customHeight="1" x14ac:dyDescent="0.25">
      <c r="A3" s="390" t="s">
        <v>1859</v>
      </c>
      <c r="B3" s="390"/>
      <c r="C3" s="390"/>
      <c r="D3" s="390"/>
      <c r="E3" s="390"/>
      <c r="F3" s="390"/>
      <c r="G3" s="390"/>
      <c r="H3" s="390"/>
      <c r="I3" s="390"/>
      <c r="J3" s="390"/>
      <c r="K3" s="390"/>
      <c r="L3" s="390"/>
      <c r="M3" s="390"/>
    </row>
    <row r="4" spans="1:14" ht="28.5" customHeight="1" thickBot="1" x14ac:dyDescent="0.3">
      <c r="A4" s="218"/>
      <c r="B4" s="218"/>
      <c r="C4" s="87"/>
      <c r="D4" s="219"/>
      <c r="E4" s="219"/>
      <c r="F4" s="219"/>
      <c r="G4" s="219"/>
      <c r="H4" s="219"/>
      <c r="I4" s="219"/>
      <c r="J4" s="219"/>
      <c r="K4" s="219"/>
      <c r="L4" s="88"/>
      <c r="M4" s="162"/>
    </row>
    <row r="5" spans="1:14" x14ac:dyDescent="0.25">
      <c r="A5" s="392" t="s">
        <v>1800</v>
      </c>
      <c r="B5" s="387" t="s">
        <v>1801</v>
      </c>
      <c r="C5" s="383" t="s">
        <v>1804</v>
      </c>
      <c r="D5" s="384"/>
      <c r="E5" s="383" t="s">
        <v>1805</v>
      </c>
      <c r="F5" s="384"/>
      <c r="G5" s="383" t="s">
        <v>1806</v>
      </c>
      <c r="H5" s="384"/>
      <c r="I5" s="389" t="s">
        <v>1807</v>
      </c>
      <c r="J5" s="384"/>
      <c r="K5" s="383" t="s">
        <v>1788</v>
      </c>
      <c r="L5" s="384"/>
      <c r="M5" s="385" t="s">
        <v>1802</v>
      </c>
    </row>
    <row r="6" spans="1:14"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386"/>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1</v>
      </c>
    </row>
    <row r="3" spans="1:16" x14ac:dyDescent="0.25">
      <c r="L3" s="108">
        <f>INDEX(Starter!A:A,ROW()-1)</f>
        <v>38735</v>
      </c>
      <c r="M3" s="108">
        <f>SUMIF(Erfassung4!BD:BD,L3,Erfassung4!BE:BE)</f>
        <v>0</v>
      </c>
      <c r="N3" s="108">
        <f>SUMIF(Erfassung4!BD:BD,L3,Erfassung4!BG:BG)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SUMIF(Erfassung4!BD:BD,L5,Erfassung4!BE:BE)</f>
        <v>0</v>
      </c>
      <c r="N5" s="108">
        <f>SUMIF(Erfassung4!BD:BD,L5,Erfassung4!BG:BG)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SUMIF(Erfassung4!BD:BD,L6,Erfassung4!BE:BE)</f>
        <v>0</v>
      </c>
      <c r="N6" s="108">
        <f>SUMIF(Erfassung4!BD:BD,L6,Erfassung4!BG:BG)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SUMIF(Erfassung4!BD:BD,L7,Erfassung4!BE:BE)</f>
        <v>0</v>
      </c>
      <c r="N7" s="108">
        <f>SUMIF(Erfassung4!BD:BD,L7,Erfassung4!BG:BG)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SUMIF(Erfassung4!BD:BD,L8,Erfassung4!BE:BE)</f>
        <v>0</v>
      </c>
      <c r="N8" s="108">
        <f>SUMIF(Erfassung4!BD:BD,L8,Erfassung4!BG:BG)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SUMIF(Erfassung4!BD:BD,L9,Erfassung4!BE:BE)</f>
        <v>0</v>
      </c>
      <c r="N9" s="108">
        <f>SUMIF(Erfassung4!BD:BD,L9,Erfassung4!BG:BG)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SUMIF(Erfassung4!BD:BD,L10,Erfassung4!BE:BE)</f>
        <v>0</v>
      </c>
      <c r="N10" s="108">
        <f>SUMIF(Erfassung4!BD:BD,L10,Erfassung4!BG:BG)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SUMIF(Erfassung4!BD:BD,L11,Erfassung4!BE:BE)</f>
        <v>0</v>
      </c>
      <c r="N11" s="108">
        <f>SUMIF(Erfassung4!BD:BD,L11,Erfassung4!BG:BG)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SUMIF(Erfassung4!BD:BD,L12,Erfassung4!BE:BE)</f>
        <v>0</v>
      </c>
      <c r="N12" s="108">
        <f>SUMIF(Erfassung4!BD:BD,L12,Erfassung4!BG:BG)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0</v>
      </c>
      <c r="N13" s="108">
        <f>SUMIF(Erfassung4!BD:BD,L13,Erfassung4!BG:BG)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0</v>
      </c>
      <c r="N14" s="108">
        <f>SUMIF(Erfassung4!BD:BD,L14,Erfassung4!BG:BG)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0</v>
      </c>
      <c r="N16" s="108">
        <f>SUMIF(Erfassung4!BD:BD,L16,Erfassung4!BG:BG)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SUMIF(Erfassung4!BD:BD,L19,Erfassung4!BE:BE)</f>
        <v>0</v>
      </c>
      <c r="N19" s="108">
        <f>SUMIF(Erfassung4!BD:BD,L19,Erfassung4!BG:BG)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topLeftCell="A28" zoomScaleNormal="100" zoomScaleSheetLayoutView="100" workbookViewId="0">
      <selection activeCell="C9" sqref="A7: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INDEX(SchnittGes3!M:M,MATCH(L7,SchnittGes3!L:L,0))+INDEX(Schnitt4!M:M,MATCH(L7,Schnitt4!L:L,0))</f>
        <v>1271</v>
      </c>
      <c r="N7">
        <f>INDEX(SchnittGes3!N:N,MATCH(L7,SchnittGes3!L:L,0))+INDEX(Schnitt4!N:N,MATCH(L7,Schnitt4!L:L,0))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INDEX(SchnittGes3!M:M,MATCH(L8,SchnittGes3!L:L,0))+INDEX(Schnitt4!M:M,MATCH(L8,Schnitt4!L:L,0))</f>
        <v>1765</v>
      </c>
      <c r="N8">
        <f>INDEX(SchnittGes3!N:N,MATCH(L8,SchnittGes3!L:L,0))+INDEX(Schnitt4!N:N,MATCH(L8,Schnitt4!L:L,0))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1968</v>
      </c>
      <c r="N9">
        <f>INDEX(SchnittGes3!N:N,MATCH(L9,SchnittGes3!L:L,0))+INDEX(Schnitt4!N:N,MATCH(L9,Schnitt4!L:L,0))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1886</v>
      </c>
      <c r="N11">
        <f>INDEX(SchnittGes3!N:N,MATCH(L11,SchnittGes3!L:L,0))+INDEX(Schnitt4!N:N,MATCH(L11,Schnitt4!L:L,0))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INDEX(SchnittGes3!M:M,MATCH(L13,SchnittGes3!L:L,0))+INDEX(Schnitt4!M:M,MATCH(L13,Schnitt4!L:L,0))</f>
        <v>577</v>
      </c>
      <c r="N13">
        <f>INDEX(SchnittGes3!N:N,MATCH(L13,SchnittGes3!L:L,0))+INDEX(Schnitt4!N:N,MATCH(L13,Schnitt4!L:L,0))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INDEX(SchnittGes3!M:M,MATCH(L14,SchnittGes3!L:L,0))+INDEX(Schnitt4!M:M,MATCH(L14,Schnitt4!L:L,0))</f>
        <v>1042</v>
      </c>
      <c r="N14">
        <f>INDEX(SchnittGes3!N:N,MATCH(L14,SchnittGes3!L:L,0))+INDEX(Schnitt4!N:N,MATCH(L14,Schnitt4!L:L,0))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INDEX(SchnittGes3!M:M,MATCH(L16,SchnittGes3!L:L,0))+INDEX(Schnitt4!M:M,MATCH(L16,Schnitt4!L:L,0))</f>
        <v>960</v>
      </c>
      <c r="N16">
        <f>INDEX(SchnittGes3!N:N,MATCH(L16,SchnittGes3!L:L,0))+INDEX(Schnitt4!N:N,MATCH(L16,Schnitt4!L:L,0))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INDEX(SchnittGes3!M:M,MATCH(L19,SchnittGes3!L:L,0))+INDEX(Schnitt4!M:M,MATCH(L19,Schnitt4!L:L,0))</f>
        <v>222</v>
      </c>
      <c r="N19">
        <f>INDEX(SchnittGes3!N:N,MATCH(L19,SchnittGes3!L:L,0))+INDEX(Schnitt4!N:N,MATCH(L19,Schnitt4!L:L,0))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topLeftCell="A9" zoomScaleNormal="100" workbookViewId="0">
      <selection activeCell="C9" sqref="A7: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+Spielzettel5!M2</f>
        <v>5</v>
      </c>
      <c r="F6" s="325"/>
      <c r="P6" s="128" t="s">
        <v>1821</v>
      </c>
      <c r="Q6" s="326" t="str">
        <f>+Spielzettel5!L1</f>
        <v>13.04.</v>
      </c>
      <c r="R6" s="327">
        <v>0</v>
      </c>
      <c r="S6" s="327">
        <v>0</v>
      </c>
      <c r="T6" s="328">
        <v>0</v>
      </c>
      <c r="U6" s="61"/>
    </row>
    <row r="7" spans="2:21" x14ac:dyDescent="0.25">
      <c r="B7" s="60"/>
      <c r="C7" s="128"/>
      <c r="D7" s="128"/>
      <c r="U7" s="61"/>
    </row>
    <row r="8" spans="2:21" x14ac:dyDescent="0.25">
      <c r="B8" s="60"/>
      <c r="C8" s="128" t="s">
        <v>1822</v>
      </c>
      <c r="D8" s="128"/>
      <c r="E8" s="329" t="str">
        <f>+Spielzettel5!D2</f>
        <v>Nürnberg West Bowling</v>
      </c>
      <c r="F8" s="330"/>
      <c r="G8" s="330"/>
      <c r="H8" s="330">
        <v>0</v>
      </c>
      <c r="I8" s="330"/>
      <c r="J8" s="331"/>
      <c r="N8" s="128" t="s">
        <v>1823</v>
      </c>
      <c r="P8" s="329" t="str">
        <f>+Spielzettel5!D1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topLeftCell="A46" zoomScaleNormal="100" zoomScaleSheetLayoutView="100" workbookViewId="0">
      <selection activeCell="C9"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3" t="str">
        <f>Schlüssel!$CO$1</f>
        <v>13.04.</v>
      </c>
      <c r="M1" s="353"/>
      <c r="N1" s="353"/>
      <c r="O1" s="353"/>
      <c r="P1" s="353"/>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VLOOKUP(B2,Schlüssel!$A$5:$DF$10,93)</f>
        <v>0</v>
      </c>
      <c r="F4" s="47" t="s">
        <v>10</v>
      </c>
      <c r="G4" s="7">
        <f>VLOOKUP(B2,Schlüssel!$A$5:$DF$10,94)</f>
        <v>0</v>
      </c>
      <c r="H4" s="47" t="s">
        <v>10</v>
      </c>
      <c r="I4" s="7">
        <f>VLOOKUP(B2,Schlüssel!$A$5:$DF$10,95)</f>
        <v>0</v>
      </c>
      <c r="J4" s="47" t="s">
        <v>10</v>
      </c>
      <c r="K4" s="7">
        <f>VLOOKUP(B2,Schlüssel!$A$5:$DF$10,96)</f>
        <v>0</v>
      </c>
      <c r="L4" s="47" t="s">
        <v>10</v>
      </c>
      <c r="M4" s="66">
        <f>VLOOKUP(B2,Schlüssel!$A$5:$DF$10,97)</f>
        <v>0</v>
      </c>
      <c r="N4" s="43" t="s">
        <v>10</v>
      </c>
      <c r="O4" s="66">
        <f>VLOOKUP(B2,Schlüssel!$A$5:$DF$10,98)</f>
        <v>0</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VLOOKUP(B2,Schlüssel!$A$5:$DF$10,83)</f>
        <v>0</v>
      </c>
      <c r="E22" s="363"/>
      <c r="F22" s="363">
        <f>VLOOKUP(B2,Schlüssel!$A$5:$DF$10,84)</f>
        <v>0</v>
      </c>
      <c r="G22" s="363"/>
      <c r="H22" s="363">
        <f>VLOOKUP(B2,Schlüssel!$A$5:$DF$10,85)</f>
        <v>0</v>
      </c>
      <c r="I22" s="363"/>
      <c r="J22" s="363">
        <f>VLOOKUP(B2,Schlüssel!$A$5:$DF$10,86)</f>
        <v>0</v>
      </c>
      <c r="K22" s="363"/>
      <c r="L22" s="363">
        <f>VLOOKUP(B2,Schlüssel!$A$5:$DF$10,87)</f>
        <v>0</v>
      </c>
      <c r="M22" s="363"/>
      <c r="N22" s="363">
        <f>VLOOKUP(B2,Schlüssel!$A$5:$DF$10,88)</f>
        <v>0</v>
      </c>
      <c r="O22" s="363"/>
      <c r="P22" s="364"/>
      <c r="Q22" s="364"/>
    </row>
    <row r="23" spans="1:31" ht="28.5" customHeight="1" x14ac:dyDescent="0.25">
      <c r="B23" s="4"/>
      <c r="C23" s="1"/>
      <c r="D23" s="360" t="e">
        <f>VLOOKUP(D22,Schlüssel!$A$5:$K$10,2)</f>
        <v>#N/A</v>
      </c>
      <c r="E23" s="361"/>
      <c r="F23" s="360" t="e">
        <f>VLOOKUP(F22,Schlüssel!$A$5:$K$10,2)</f>
        <v>#N/A</v>
      </c>
      <c r="G23" s="361"/>
      <c r="H23" s="360" t="e">
        <f>VLOOKUP(H22,Schlüssel!$A$5:$K$10,2)</f>
        <v>#N/A</v>
      </c>
      <c r="I23" s="361"/>
      <c r="J23" s="360" t="e">
        <f>VLOOKUP(J22,Schlüssel!$A$5:$K$10,2)</f>
        <v>#N/A</v>
      </c>
      <c r="K23" s="361"/>
      <c r="L23" s="360" t="e">
        <f>VLOOKUP(L22,Schlüssel!$A$5:$K$10,2)</f>
        <v>#N/A</v>
      </c>
      <c r="M23" s="361"/>
      <c r="N23" s="360" t="e">
        <f>VLOOKUP(N22,Schlüssel!$A$5:$K$10,2)</f>
        <v>#N/A</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Schlüssel!$CO$1</f>
        <v>13.04.</v>
      </c>
      <c r="M30" s="353"/>
      <c r="N30" s="353"/>
      <c r="O30" s="353"/>
      <c r="P30" s="353"/>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VLOOKUP(B31,Schlüssel!$A$5:$DF$10,93)</f>
        <v>12</v>
      </c>
      <c r="F33" s="47" t="s">
        <v>10</v>
      </c>
      <c r="G33" s="7">
        <f>VLOOKUP(B31,Schlüssel!$A$5:$DF$10,94)</f>
        <v>11</v>
      </c>
      <c r="H33" s="47" t="s">
        <v>10</v>
      </c>
      <c r="I33" s="7">
        <f>VLOOKUP(B31,Schlüssel!$A$5:$DF$10,95)</f>
        <v>12</v>
      </c>
      <c r="J33" s="47" t="s">
        <v>10</v>
      </c>
      <c r="K33" s="7">
        <f>VLOOKUP(B31,Schlüssel!$A$5:$DF$10,96)</f>
        <v>11</v>
      </c>
      <c r="L33" s="47" t="s">
        <v>10</v>
      </c>
      <c r="M33" s="66">
        <f>VLOOKUP(B31,Schlüssel!$A$5:$DF$10,97)</f>
        <v>12</v>
      </c>
      <c r="N33" s="43" t="s">
        <v>10</v>
      </c>
      <c r="O33" s="66">
        <f>VLOOKUP(B31,Schlüssel!$A$5:$DF$10,98)</f>
        <v>11</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VLOOKUP(B31,Schlüssel!$A$5:$DF$10,83)</f>
        <v>3</v>
      </c>
      <c r="E51" s="363"/>
      <c r="F51" s="363">
        <f>VLOOKUP(B31,Schlüssel!$A$5:$DF$10,84)</f>
        <v>3</v>
      </c>
      <c r="G51" s="363"/>
      <c r="H51" s="363">
        <f>VLOOKUP(B31,Schlüssel!$A$5:$DF$10,85)</f>
        <v>3</v>
      </c>
      <c r="I51" s="363"/>
      <c r="J51" s="363">
        <f>VLOOKUP(B31,Schlüssel!$A$5:$DF$10,86)</f>
        <v>3</v>
      </c>
      <c r="K51" s="363"/>
      <c r="L51" s="363">
        <f>VLOOKUP(B31,Schlüssel!$A$5:$DF$10,87)</f>
        <v>3</v>
      </c>
      <c r="M51" s="363"/>
      <c r="N51" s="363">
        <f>VLOOKUP(B31,Schlüssel!$A$5:$DF$10,88)</f>
        <v>3</v>
      </c>
      <c r="O51" s="363"/>
      <c r="P51" s="364"/>
      <c r="Q51" s="364"/>
    </row>
    <row r="52" spans="1:31" ht="28.5" customHeight="1" x14ac:dyDescent="0.25">
      <c r="B52" s="4"/>
      <c r="C52" s="1"/>
      <c r="D52" s="360" t="str">
        <f>VLOOKUP(D51,Schlüssel!$A$5:$K$10,2)</f>
        <v>Mainauenbowler Bayreuth Land</v>
      </c>
      <c r="E52" s="361"/>
      <c r="F52" s="360" t="str">
        <f>VLOOKUP(F51,Schlüssel!$A$5:$K$10,2)</f>
        <v>Mainauenbowler Bayreuth Land</v>
      </c>
      <c r="G52" s="361"/>
      <c r="H52" s="360" t="str">
        <f>VLOOKUP(H51,Schlüssel!$A$5:$K$10,2)</f>
        <v>Mainauenbowler Bayreuth Land</v>
      </c>
      <c r="I52" s="361"/>
      <c r="J52" s="360" t="str">
        <f>VLOOKUP(J51,Schlüssel!$A$5:$K$10,2)</f>
        <v>Mainauenbowler Bayreuth Land</v>
      </c>
      <c r="K52" s="361"/>
      <c r="L52" s="360" t="str">
        <f>VLOOKUP(L51,Schlüssel!$A$5:$K$10,2)</f>
        <v>Mainauenbowler Bayreuth Land</v>
      </c>
      <c r="M52" s="361"/>
      <c r="N52" s="360" t="str">
        <f>VLOOKUP(N51,Schlüssel!$A$5:$K$10,2)</f>
        <v>Mainauenbowler Bayreuth Land</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Schlüssel!$CO$1</f>
        <v>13.04.</v>
      </c>
      <c r="M59" s="353"/>
      <c r="N59" s="353"/>
      <c r="O59" s="353"/>
      <c r="P59" s="353"/>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11</v>
      </c>
      <c r="F62" s="47" t="s">
        <v>10</v>
      </c>
      <c r="G62" s="7">
        <f>VLOOKUP(B60,Schlüssel!$A$5:$DF$10,94)</f>
        <v>12</v>
      </c>
      <c r="H62" s="47" t="s">
        <v>10</v>
      </c>
      <c r="I62" s="7">
        <f>VLOOKUP(B60,Schlüssel!$A$5:$DF$10,95)</f>
        <v>11</v>
      </c>
      <c r="J62" s="47" t="s">
        <v>10</v>
      </c>
      <c r="K62" s="7">
        <f>VLOOKUP(B60,Schlüssel!$A$5:$DF$10,96)</f>
        <v>12</v>
      </c>
      <c r="L62" s="47" t="s">
        <v>10</v>
      </c>
      <c r="M62" s="66">
        <f>VLOOKUP(B60,Schlüssel!$A$5:$DF$10,97)</f>
        <v>11</v>
      </c>
      <c r="N62" s="43" t="s">
        <v>10</v>
      </c>
      <c r="O62" s="66">
        <f>VLOOKUP(B60,Schlüssel!$A$5:$DF$10,98)</f>
        <v>12</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VLOOKUP(B60,Schlüssel!$A$5:$DF$10,83)</f>
        <v>2</v>
      </c>
      <c r="E80" s="363"/>
      <c r="F80" s="363">
        <f>VLOOKUP(B60,Schlüssel!$A$5:$DF$10,84)</f>
        <v>2</v>
      </c>
      <c r="G80" s="363"/>
      <c r="H80" s="363">
        <f>VLOOKUP(B60,Schlüssel!$A$5:$DF$10,85)</f>
        <v>2</v>
      </c>
      <c r="I80" s="363"/>
      <c r="J80" s="363">
        <f>VLOOKUP(B60,Schlüssel!$A$5:$DF$10,86)</f>
        <v>2</v>
      </c>
      <c r="K80" s="363"/>
      <c r="L80" s="363">
        <f>VLOOKUP(B60,Schlüssel!$A$5:$DF$10,87)</f>
        <v>2</v>
      </c>
      <c r="M80" s="363"/>
      <c r="N80" s="363">
        <f>VLOOKUP(B60,Schlüssel!$A$5:$DF$10,88)</f>
        <v>2</v>
      </c>
      <c r="O80" s="363"/>
      <c r="P80" s="364"/>
      <c r="Q80" s="364"/>
    </row>
    <row r="81" spans="2:17" ht="28.5" customHeight="1" x14ac:dyDescent="0.25">
      <c r="B81" s="4"/>
      <c r="C81" s="1"/>
      <c r="D81" s="360" t="str">
        <f>VLOOKUP(D80,Schlüssel!$A$5:$K$10,2)</f>
        <v>BC Phönix Lauf</v>
      </c>
      <c r="E81" s="361"/>
      <c r="F81" s="360" t="str">
        <f>VLOOKUP(F80,Schlüssel!$A$5:$K$10,2)</f>
        <v>BC Phönix Lauf</v>
      </c>
      <c r="G81" s="361"/>
      <c r="H81" s="360" t="str">
        <f>VLOOKUP(H80,Schlüssel!$A$5:$K$10,2)</f>
        <v>BC Phönix Lauf</v>
      </c>
      <c r="I81" s="361"/>
      <c r="J81" s="360" t="str">
        <f>VLOOKUP(J80,Schlüssel!$A$5:$K$10,2)</f>
        <v>BC Phönix Lauf</v>
      </c>
      <c r="K81" s="361"/>
      <c r="L81" s="360" t="str">
        <f>VLOOKUP(L80,Schlüssel!$A$5:$K$10,2)</f>
        <v>BC Phönix Lauf</v>
      </c>
      <c r="M81" s="361"/>
      <c r="N81" s="360" t="str">
        <f>VLOOKUP(N80,Schlüssel!$A$5:$K$10,2)</f>
        <v>BC Phönix Lauf</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view="pageBreakPreview" topLeftCell="R64" zoomScaleNormal="100" zoomScaleSheetLayoutView="100" workbookViewId="0">
      <selection activeCell="C9"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c r="N1" s="366" t="str">
        <f>AD1</f>
        <v>13.04.</v>
      </c>
      <c r="O1" s="366"/>
      <c r="P1" s="368"/>
      <c r="Q1" s="368"/>
      <c r="R1" s="368"/>
      <c r="S1" s="7" t="s">
        <v>1798</v>
      </c>
      <c r="T1" s="25"/>
      <c r="U1" s="30" t="s">
        <v>1782</v>
      </c>
      <c r="V1" s="76" t="str">
        <f>Schlüssel!$C$1</f>
        <v>Landesliga Nord Frauen</v>
      </c>
      <c r="X1" s="25"/>
      <c r="Y1" s="25"/>
      <c r="Z1" s="25"/>
      <c r="AA1" s="25"/>
      <c r="AC1" s="29"/>
      <c r="AD1" s="353" t="str">
        <f>Schlüssel!$CO$1</f>
        <v>13.04.</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0</v>
      </c>
      <c r="W4" s="192" t="s">
        <v>10</v>
      </c>
      <c r="X4" s="190">
        <f>VLOOKUP(S2,Schlüssel!$A$5:$DF$10,94)</f>
        <v>0</v>
      </c>
      <c r="Y4" s="192" t="s">
        <v>10</v>
      </c>
      <c r="Z4" s="190">
        <f>VLOOKUP(S2,Schlüssel!$A$5:$DF$10,95)</f>
        <v>0</v>
      </c>
      <c r="AA4" s="192" t="s">
        <v>10</v>
      </c>
      <c r="AB4" s="190">
        <f>VLOOKUP(S2,Schlüssel!$A$5:$DF$10,96)</f>
        <v>0</v>
      </c>
      <c r="AC4" s="192" t="s">
        <v>10</v>
      </c>
      <c r="AD4" s="191">
        <f>VLOOKUP(S2,Schlüssel!$A$5:$DF$10,97)</f>
        <v>0</v>
      </c>
      <c r="AE4" s="192" t="s">
        <v>10</v>
      </c>
      <c r="AF4" s="191">
        <f>VLOOKUP(S2,Schlüssel!$A$5:$DF$10,98)</f>
        <v>0</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t="str">
        <f>IF(U7=0,"",U7)</f>
        <v/>
      </c>
      <c r="E7" s="350" t="e">
        <f>IF(V7="","",V7)</f>
        <v>#N/A</v>
      </c>
      <c r="F7" s="14" t="str">
        <f t="shared" ref="F7:F20" si="0">IF(W7=0,"",W7)</f>
        <v/>
      </c>
      <c r="G7" s="350" t="e">
        <f>IF(X7="","",X7)</f>
        <v>#N/A</v>
      </c>
      <c r="H7" s="14" t="str">
        <f t="shared" ref="H7:H20" si="1">IF(Y7=0,"",Y7)</f>
        <v/>
      </c>
      <c r="I7" s="350" t="e">
        <f>IF(Z7="","",Z7)</f>
        <v>#N/A</v>
      </c>
      <c r="J7" s="14" t="str">
        <f t="shared" ref="J7:J20" si="2">IF(AA7=0,"",AA7)</f>
        <v/>
      </c>
      <c r="K7" s="350" t="e">
        <f>IF(AB7="","",AB7)</f>
        <v>#N/A</v>
      </c>
      <c r="L7" s="14" t="str">
        <f t="shared" ref="L7:L20" si="3">IF(AC7=0,"",AC7)</f>
        <v/>
      </c>
      <c r="M7" s="350" t="e">
        <f>IF(AD7="","",AD7)</f>
        <v>#N/A</v>
      </c>
      <c r="N7" s="14" t="str">
        <f t="shared" ref="N7:N20" si="4">IF(AG7=0,"",AG7)</f>
        <v/>
      </c>
      <c r="O7" s="350" t="e">
        <f>IF(AH7="","",AH7)</f>
        <v>#N/A</v>
      </c>
      <c r="R7" s="357"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t="e">
        <f>IF(V10="","",V10)</f>
        <v>#N/A</v>
      </c>
      <c r="F10" s="14" t="str">
        <f t="shared" si="0"/>
        <v/>
      </c>
      <c r="G10" s="350" t="e">
        <f>IF(X10="","",X10)</f>
        <v>#N/A</v>
      </c>
      <c r="H10" s="14" t="str">
        <f t="shared" si="1"/>
        <v/>
      </c>
      <c r="I10" s="350" t="e">
        <f>IF(Z10="","",Z10)</f>
        <v>#N/A</v>
      </c>
      <c r="J10" s="14" t="str">
        <f t="shared" si="2"/>
        <v/>
      </c>
      <c r="K10" s="350" t="e">
        <f>IF(AB10="","",AB10)</f>
        <v>#N/A</v>
      </c>
      <c r="L10" s="14" t="str">
        <f t="shared" si="3"/>
        <v/>
      </c>
      <c r="M10" s="350" t="e">
        <f>IF(AD10="","",AD10)</f>
        <v>#N/A</v>
      </c>
      <c r="N10" s="14" t="str">
        <f t="shared" si="4"/>
        <v/>
      </c>
      <c r="O10" s="350" t="e">
        <f>IF(AH10="","",AH10)</f>
        <v>#N/A</v>
      </c>
      <c r="R10" s="357"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t="e">
        <f>IF(V13="","",V13)</f>
        <v>#N/A</v>
      </c>
      <c r="F13" s="14" t="str">
        <f t="shared" si="0"/>
        <v/>
      </c>
      <c r="G13" s="350" t="e">
        <f>IF(X13="","",X13)</f>
        <v>#N/A</v>
      </c>
      <c r="H13" s="14" t="str">
        <f t="shared" si="1"/>
        <v/>
      </c>
      <c r="I13" s="350" t="e">
        <f>IF(Z13="","",Z13)</f>
        <v>#N/A</v>
      </c>
      <c r="J13" s="14" t="str">
        <f t="shared" si="2"/>
        <v/>
      </c>
      <c r="K13" s="350" t="e">
        <f>IF(AB13="","",AB13)</f>
        <v>#N/A</v>
      </c>
      <c r="L13" s="14" t="str">
        <f t="shared" si="3"/>
        <v/>
      </c>
      <c r="M13" s="350" t="e">
        <f>IF(AD13="","",AD13)</f>
        <v>#N/A</v>
      </c>
      <c r="N13" s="14" t="str">
        <f t="shared" si="4"/>
        <v/>
      </c>
      <c r="O13" s="350" t="e">
        <f>IF(AH13="","",AH13)</f>
        <v>#N/A</v>
      </c>
      <c r="R13" s="357"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t="e">
        <f>IF(V16="","",V16)</f>
        <v>#N/A</v>
      </c>
      <c r="F16" s="14" t="str">
        <f t="shared" si="0"/>
        <v/>
      </c>
      <c r="G16" s="350" t="e">
        <f>IF(X16="","",X16)</f>
        <v>#N/A</v>
      </c>
      <c r="H16" s="14" t="str">
        <f t="shared" si="1"/>
        <v/>
      </c>
      <c r="I16" s="350" t="e">
        <f>IF(Z16="","",Z16)</f>
        <v>#N/A</v>
      </c>
      <c r="J16" s="14" t="str">
        <f t="shared" si="2"/>
        <v/>
      </c>
      <c r="K16" s="350" t="e">
        <f>IF(AB16="","",AB16)</f>
        <v>#N/A</v>
      </c>
      <c r="L16" s="14" t="str">
        <f t="shared" si="3"/>
        <v/>
      </c>
      <c r="M16" s="350" t="e">
        <f>IF(AD16="","",AD16)</f>
        <v>#N/A</v>
      </c>
      <c r="N16" s="14" t="str">
        <f t="shared" si="4"/>
        <v/>
      </c>
      <c r="O16" s="350" t="e">
        <f>IF(AH16="","",AH16)</f>
        <v>#N/A</v>
      </c>
      <c r="R16" s="357"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3" t="str">
        <f t="shared" si="24"/>
        <v/>
      </c>
      <c r="E22" s="363" t="str">
        <f t="shared" si="24"/>
        <v/>
      </c>
      <c r="F22" s="363" t="str">
        <f t="shared" si="24"/>
        <v/>
      </c>
      <c r="G22" s="363" t="str">
        <f t="shared" si="24"/>
        <v/>
      </c>
      <c r="H22" s="363" t="str">
        <f t="shared" si="24"/>
        <v/>
      </c>
      <c r="I22" s="363" t="str">
        <f t="shared" si="24"/>
        <v/>
      </c>
      <c r="J22" s="363" t="str">
        <f t="shared" si="24"/>
        <v/>
      </c>
      <c r="K22" s="363" t="str">
        <f t="shared" si="24"/>
        <v/>
      </c>
      <c r="L22" s="363" t="str">
        <f t="shared" ref="L22:M24" si="25">IF(AC22=0,"",AC22)</f>
        <v/>
      </c>
      <c r="M22" s="363" t="str">
        <f t="shared" si="25"/>
        <v/>
      </c>
      <c r="N22" s="364"/>
      <c r="O22" s="364"/>
      <c r="S22" s="13" t="s">
        <v>1786</v>
      </c>
      <c r="T22" s="5" t="s">
        <v>1787</v>
      </c>
      <c r="U22" s="369">
        <f>VLOOKUP($S2,Schlüssel!$A$5:$CX$10,83)</f>
        <v>0</v>
      </c>
      <c r="V22" s="370"/>
      <c r="W22" s="369">
        <f>VLOOKUP($S2,Schlüssel!$A$5:$DQ$10,84)</f>
        <v>0</v>
      </c>
      <c r="X22" s="370"/>
      <c r="Y22" s="369">
        <f>VLOOKUP($S2,Schlüssel!$A$5:$DQ$10,85)</f>
        <v>0</v>
      </c>
      <c r="Z22" s="370"/>
      <c r="AA22" s="369">
        <f>VLOOKUP($S2,Schlüssel!$A$5:$DQ$10,86)</f>
        <v>0</v>
      </c>
      <c r="AB22" s="370"/>
      <c r="AC22" s="369">
        <f>VLOOKUP($S2,Schlüssel!$A$5:$DQ$10,87)</f>
        <v>0</v>
      </c>
      <c r="AD22" s="370"/>
      <c r="AE22" s="369">
        <f>VLOOKUP($S2,Schlüssel!$A$5:$DQ$10,88)</f>
        <v>0</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e">
        <f t="shared" si="24"/>
        <v>#N/A</v>
      </c>
      <c r="E23" s="361" t="str">
        <f t="shared" si="24"/>
        <v/>
      </c>
      <c r="F23" s="360" t="e">
        <f t="shared" si="24"/>
        <v>#N/A</v>
      </c>
      <c r="G23" s="361" t="str">
        <f t="shared" si="24"/>
        <v/>
      </c>
      <c r="H23" s="360" t="e">
        <f t="shared" si="24"/>
        <v>#N/A</v>
      </c>
      <c r="I23" s="361" t="str">
        <f t="shared" si="24"/>
        <v/>
      </c>
      <c r="J23" s="360" t="e">
        <f t="shared" si="24"/>
        <v>#N/A</v>
      </c>
      <c r="K23" s="361" t="str">
        <f t="shared" si="24"/>
        <v/>
      </c>
      <c r="L23" s="360" t="e">
        <f t="shared" si="25"/>
        <v>#N/A</v>
      </c>
      <c r="M23" s="361" t="str">
        <f t="shared" si="25"/>
        <v/>
      </c>
      <c r="N23" s="362"/>
      <c r="O23" s="362"/>
      <c r="S23" s="4"/>
      <c r="T23" s="1"/>
      <c r="U23" s="360" t="e">
        <f>VLOOKUP(U22,Schlüssel!$A$5:$K$10,2)</f>
        <v>#N/A</v>
      </c>
      <c r="V23" s="361"/>
      <c r="W23" s="360" t="e">
        <f>VLOOKUP(W22,Schlüssel!$A$5:$K$10,2)</f>
        <v>#N/A</v>
      </c>
      <c r="X23" s="361"/>
      <c r="Y23" s="360" t="e">
        <f>VLOOKUP(Y22,Schlüssel!$A$5:$K$10,2)</f>
        <v>#N/A</v>
      </c>
      <c r="Z23" s="361"/>
      <c r="AA23" s="360" t="e">
        <f>VLOOKUP(AA22,Schlüssel!$A$5:$K$10,2)</f>
        <v>#N/A</v>
      </c>
      <c r="AB23" s="361"/>
      <c r="AC23" s="360" t="e">
        <f>VLOOKUP(AC22,Schlüssel!$A$5:$K$10,2)</f>
        <v>#N/A</v>
      </c>
      <c r="AD23" s="361"/>
      <c r="AE23" s="360" t="e">
        <f>VLOOKUP(AE22,Schlüssel!$A$5:$K$10,2)</f>
        <v>#N/A</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5"/>
        <v/>
      </c>
      <c r="M24" s="365"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t="e">
        <f>IF(U25=301,"",U25)</f>
        <v>#N/A</v>
      </c>
      <c r="E25" s="346" t="str">
        <f>IF(V25=0,"",V25)</f>
        <v/>
      </c>
      <c r="F25" s="346" t="e">
        <f>IF(W25=301,"",W25)</f>
        <v>#N/A</v>
      </c>
      <c r="G25" s="346" t="str">
        <f>IF(X25=0,"",X25)</f>
        <v/>
      </c>
      <c r="H25" s="346" t="e">
        <f>IF(Y25=301,"",Y25)</f>
        <v>#N/A</v>
      </c>
      <c r="I25" s="346" t="str">
        <f>IF(Z25=0,"",Z25)</f>
        <v/>
      </c>
      <c r="J25" s="346" t="e">
        <f>IF(AA25=301,"",AA25)</f>
        <v>#N/A</v>
      </c>
      <c r="K25" s="346" t="str">
        <f>IF(AB25=0,"",AB25)</f>
        <v/>
      </c>
      <c r="L25" s="346" t="e">
        <f>IF(AC25=301,"",AC25)</f>
        <v>#N/A</v>
      </c>
      <c r="M25" s="346" t="str">
        <f>IF(AD25=0,"",AD25)</f>
        <v/>
      </c>
      <c r="N25" s="354"/>
      <c r="O25" s="354"/>
      <c r="S25" s="35" t="s">
        <v>0</v>
      </c>
      <c r="T25" s="36"/>
      <c r="U25" s="374" t="e">
        <f>ABS(INDEX(U:U,MATCH(U22,$S:$S,0)+5)+INDEX(U:U,MATCH(U22,$S:$S,0)+6)+INDEX(U:U,MATCH(U22,$S:$S,0)+7))</f>
        <v>#N/A</v>
      </c>
      <c r="V25" s="375"/>
      <c r="W25" s="374" t="e">
        <f>ABS(INDEX(W:W,MATCH(W22,$S:$S,0)+5)+INDEX(W:W,MATCH(W22,$S:$S,0)+6)+INDEX(W:W,MATCH(W22,$S:$S,0)+7))</f>
        <v>#N/A</v>
      </c>
      <c r="X25" s="375"/>
      <c r="Y25" s="374" t="e">
        <f>ABS(INDEX(Y:Y,MATCH(Y22,$S:$S,0)+5)+INDEX(Y:Y,MATCH(Y22,$S:$S,0)+6)+INDEX(Y:Y,MATCH(Y22,$S:$S,0)+7))</f>
        <v>#N/A</v>
      </c>
      <c r="Z25" s="375"/>
      <c r="AA25" s="374" t="e">
        <f>ABS(INDEX(AA:AA,MATCH(AA22,$S:$S,0)+5)+INDEX(AA:AA,MATCH(AA22,$S:$S,0)+6)+INDEX(AA:AA,MATCH(AA22,$S:$S,0)+7))</f>
        <v>#N/A</v>
      </c>
      <c r="AB25" s="375"/>
      <c r="AC25" s="374" t="e">
        <f>ABS(INDEX(AC:AC,MATCH(AC22,$S:$S,0)+5)+INDEX(AC:AC,MATCH(AC22,$S:$S,0)+6)+INDEX(AC:AC,MATCH(AC22,$S:$S,0)+7))</f>
        <v>#N/A</v>
      </c>
      <c r="AD25" s="375"/>
      <c r="AE25" s="374" t="e">
        <f>ABS(INDEX(AE:AE,MATCH(AE22,$S:$S,0)+5)+INDEX(AE:AE,MATCH(AE22,$S:$S,0)+6)+INDEX(AE:AE,MATCH(AE22,$S:$S,0)+7))</f>
        <v>#N/A</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t="e">
        <f>IF(U26=301,"",U26)</f>
        <v>#N/A</v>
      </c>
      <c r="E26" s="346" t="str">
        <f>IF(V26=0,"",V26)</f>
        <v/>
      </c>
      <c r="F26" s="346" t="e">
        <f>IF(W26=301,"",W26)</f>
        <v>#N/A</v>
      </c>
      <c r="G26" s="346" t="str">
        <f>IF(X26=0,"",X26)</f>
        <v/>
      </c>
      <c r="H26" s="346" t="e">
        <f>IF(Y26=301,"",Y26)</f>
        <v>#N/A</v>
      </c>
      <c r="I26" s="346" t="str">
        <f>IF(Z26=0,"",Z26)</f>
        <v/>
      </c>
      <c r="J26" s="346" t="e">
        <f>IF(AA26=301,"",AA26)</f>
        <v>#N/A</v>
      </c>
      <c r="K26" s="346" t="str">
        <f>IF(AB26=0,"",AB26)</f>
        <v/>
      </c>
      <c r="L26" s="346" t="e">
        <f>IF(AC26=301,"",AC26)</f>
        <v>#N/A</v>
      </c>
      <c r="M26" s="346" t="str">
        <f>IF(AD26=0,"",AD26)</f>
        <v/>
      </c>
      <c r="N26" s="354"/>
      <c r="O26" s="354"/>
      <c r="S26" s="35" t="s">
        <v>2</v>
      </c>
      <c r="T26" s="36"/>
      <c r="U26" s="376" t="e">
        <f>ABS(INDEX(U:U,MATCH(U22,$S:$S,0)+8)+INDEX(U:U,MATCH(U22,$S:$S,0)+9)+INDEX(U:U,MATCH(U22,$S:$S,0)+10))</f>
        <v>#N/A</v>
      </c>
      <c r="V26" s="377"/>
      <c r="W26" s="376" t="e">
        <f>ABS(INDEX(W:W,MATCH(W22,$S:$S,0)+8)+INDEX(W:W,MATCH(W22,$S:$S,0)+9)+INDEX(W:W,MATCH(W22,$S:$S,0)+10))</f>
        <v>#N/A</v>
      </c>
      <c r="X26" s="377"/>
      <c r="Y26" s="376" t="e">
        <f>ABS(INDEX(Y:Y,MATCH(Y22,$S:$S,0)+8)+INDEX(Y:Y,MATCH(Y22,$S:$S,0)+9)+INDEX(Y:Y,MATCH(Y22,$S:$S,0)+10))</f>
        <v>#N/A</v>
      </c>
      <c r="Z26" s="377"/>
      <c r="AA26" s="376" t="e">
        <f>ABS(INDEX(AA:AA,MATCH(AA22,$S:$S,0)+8)+INDEX(AA:AA,MATCH(AA22,$S:$S,0)+9)+INDEX(AA:AA,MATCH(AA22,$S:$S,0)+10))</f>
        <v>#N/A</v>
      </c>
      <c r="AB26" s="377"/>
      <c r="AC26" s="376" t="e">
        <f>ABS(INDEX(AC:AC,MATCH(AC22,$S:$S,0)+8)+INDEX(AC:AC,MATCH(AC22,$S:$S,0)+9)+INDEX(AC:AC,MATCH(AC22,$S:$S,0)+10))</f>
        <v>#N/A</v>
      </c>
      <c r="AD26" s="377"/>
      <c r="AE26" s="376" t="e">
        <f>ABS(INDEX(AE:AE,MATCH(AE22,$S:$S,0)+8)+INDEX(AE:AE,MATCH(AE22,$S:$S,0)+9)+INDEX(AE:AE,MATCH(AE22,$S:$S,0)+10))</f>
        <v>#N/A</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t="e">
        <f>IF(U27=301,"",U27)</f>
        <v>#N/A</v>
      </c>
      <c r="E27" s="346" t="str">
        <f>IF(V27=0,"",V27)</f>
        <v/>
      </c>
      <c r="F27" s="346" t="e">
        <f>IF(W27=301,"",W27)</f>
        <v>#N/A</v>
      </c>
      <c r="G27" s="346" t="str">
        <f>IF(X27=0,"",X27)</f>
        <v/>
      </c>
      <c r="H27" s="346" t="e">
        <f>IF(Y27=301,"",Y27)</f>
        <v>#N/A</v>
      </c>
      <c r="I27" s="346" t="str">
        <f>IF(Z27=0,"",Z27)</f>
        <v/>
      </c>
      <c r="J27" s="346" t="e">
        <f>IF(AA27=301,"",AA27)</f>
        <v>#N/A</v>
      </c>
      <c r="K27" s="346" t="str">
        <f>IF(AB27=0,"",AB27)</f>
        <v/>
      </c>
      <c r="L27" s="346" t="e">
        <f>IF(AC27=301,"",AC27)</f>
        <v>#N/A</v>
      </c>
      <c r="M27" s="346" t="str">
        <f>IF(AD27=0,"",AD27)</f>
        <v/>
      </c>
      <c r="N27" s="354"/>
      <c r="O27" s="354"/>
      <c r="S27" s="35" t="s">
        <v>3</v>
      </c>
      <c r="T27" s="36"/>
      <c r="U27" s="376" t="e">
        <f>ABS(INDEX(U:U,MATCH(U22,$S:$S,0)+11)+INDEX(U:U,MATCH(U22,$S:$S,0)+12)+INDEX(U:U,MATCH(U22,$S:$S,0)+13))</f>
        <v>#N/A</v>
      </c>
      <c r="V27" s="377"/>
      <c r="W27" s="376" t="e">
        <f>ABS(INDEX(W:W,MATCH(W22,$S:$S,0)+11)+INDEX(W:W,MATCH(W22,$S:$S,0)+12)+INDEX(W:W,MATCH(W22,$S:$S,0)+13))</f>
        <v>#N/A</v>
      </c>
      <c r="X27" s="377"/>
      <c r="Y27" s="376" t="e">
        <f>ABS(INDEX(Y:Y,MATCH(Y22,$S:$S,0)+11)+INDEX(Y:Y,MATCH(Y22,$S:$S,0)+12)+INDEX(Y:Y,MATCH(Y22,$S:$S,0)+13))</f>
        <v>#N/A</v>
      </c>
      <c r="Z27" s="377"/>
      <c r="AA27" s="376" t="e">
        <f>ABS(INDEX(AA:AA,MATCH(AA22,$S:$S,0)+11)+INDEX(AA:AA,MATCH(AA22,$S:$S,0)+12)+INDEX(AA:AA,MATCH(AA22,$S:$S,0)+13))</f>
        <v>#N/A</v>
      </c>
      <c r="AB27" s="377"/>
      <c r="AC27" s="376" t="e">
        <f>ABS(INDEX(AC:AC,MATCH(AC22,$S:$S,0)+11)+INDEX(AC:AC,MATCH(AC22,$S:$S,0)+12)+INDEX(AC:AC,MATCH(AC22,$S:$S,0)+13))</f>
        <v>#N/A</v>
      </c>
      <c r="AD27" s="377"/>
      <c r="AE27" s="376" t="e">
        <f>ABS(INDEX(AE:AE,MATCH(AE22,$S:$S,0)+11)+INDEX(AE:AE,MATCH(AE22,$S:$S,0)+12)+INDEX(AE:AE,MATCH(AE22,$S:$S,0)+13))</f>
        <v>#N/A</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t="e">
        <f>IF(U28=301,"",U28)</f>
        <v>#N/A</v>
      </c>
      <c r="E28" s="346" t="str">
        <f>IF(V28=0,"",V28)</f>
        <v/>
      </c>
      <c r="F28" s="346" t="e">
        <f>IF(W28=301,"",W28)</f>
        <v>#N/A</v>
      </c>
      <c r="G28" s="346" t="str">
        <f>IF(X28=0,"",X28)</f>
        <v/>
      </c>
      <c r="H28" s="346" t="e">
        <f>IF(Y28=301,"",Y28)</f>
        <v>#N/A</v>
      </c>
      <c r="I28" s="346" t="str">
        <f>IF(Z28=0,"",Z28)</f>
        <v/>
      </c>
      <c r="J28" s="346" t="e">
        <f>IF(AA28=301,"",AA28)</f>
        <v>#N/A</v>
      </c>
      <c r="K28" s="346" t="str">
        <f>IF(AB28=0,"",AB28)</f>
        <v/>
      </c>
      <c r="L28" s="346" t="e">
        <f>IF(AC28=301,"",AC28)</f>
        <v>#N/A</v>
      </c>
      <c r="M28" s="346" t="str">
        <f>IF(AD28=0,"",AD28)</f>
        <v/>
      </c>
      <c r="N28" s="354"/>
      <c r="O28" s="354"/>
      <c r="S28" s="35" t="s">
        <v>11</v>
      </c>
      <c r="T28" s="36"/>
      <c r="U28" s="376" t="e">
        <f>ABS(INDEX(U:U,MATCH(U22,$S:$S,0)+14)+INDEX(U:U,MATCH(U22,$S:$S,0)+15)+INDEX(U:U,MATCH(U22,$S:$S,0)+16))</f>
        <v>#N/A</v>
      </c>
      <c r="V28" s="377"/>
      <c r="W28" s="376" t="e">
        <f>ABS(INDEX(W:W,MATCH(W22,$S:$S,0)+14)+INDEX(W:W,MATCH(W22,$S:$S,0)+15)+INDEX(W:W,MATCH(W22,$S:$S,0)+16))</f>
        <v>#N/A</v>
      </c>
      <c r="X28" s="377"/>
      <c r="Y28" s="376" t="e">
        <f>ABS(INDEX(Y:Y,MATCH(Y22,$S:$S,0)+14)+INDEX(Y:Y,MATCH(Y22,$S:$S,0)+15)+INDEX(Y:Y,MATCH(Y22,$S:$S,0)+16))</f>
        <v>#N/A</v>
      </c>
      <c r="Z28" s="377"/>
      <c r="AA28" s="376" t="e">
        <f>ABS(INDEX(AA:AA,MATCH(AA22,$S:$S,0)+14)+INDEX(AA:AA,MATCH(AA22,$S:$S,0)+15)+INDEX(AA:AA,MATCH(AA22,$S:$S,0)+16))</f>
        <v>#N/A</v>
      </c>
      <c r="AB28" s="377"/>
      <c r="AC28" s="376" t="e">
        <f>ABS(INDEX(AC:AC,MATCH(AC22,$S:$S,0)+14)+INDEX(AC:AC,MATCH(AC22,$S:$S,0)+15)+INDEX(AC:AC,MATCH(AC22,$S:$S,0)+16))</f>
        <v>#N/A</v>
      </c>
      <c r="AD28" s="377"/>
      <c r="AE28" s="376" t="e">
        <f>ABS(INDEX(AE:AE,MATCH(AE22,$S:$S,0)+14)+INDEX(AE:AE,MATCH(AE22,$S:$S,0)+15)+INDEX(AE:AE,MATCH(AE22,$S:$S,0)+16))</f>
        <v>#N/A</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t="e">
        <f>IF(U29=1505,"",U29)</f>
        <v>#N/A</v>
      </c>
      <c r="E29" s="347" t="str">
        <f>IF(V29=0,"",V29)</f>
        <v/>
      </c>
      <c r="F29" s="347" t="e">
        <f>IF(W29=1505,"",W29)</f>
        <v>#N/A</v>
      </c>
      <c r="G29" s="347" t="str">
        <f>IF(X29=0,"",X29)</f>
        <v/>
      </c>
      <c r="H29" s="347" t="e">
        <f>IF(Y29=1505,"",Y29)</f>
        <v>#N/A</v>
      </c>
      <c r="I29" s="347" t="str">
        <f>IF(Z29=0,"",Z29)</f>
        <v/>
      </c>
      <c r="J29" s="347" t="e">
        <f>IF(AA29=1505,"",AA29)</f>
        <v>#N/A</v>
      </c>
      <c r="K29" s="347" t="str">
        <f>IF(AB29=0,"",AB29)</f>
        <v/>
      </c>
      <c r="L29" s="347" t="e">
        <f>IF(AC29=1505,"",AC29)</f>
        <v>#N/A</v>
      </c>
      <c r="M29" s="347" t="str">
        <f>IF(AD29=0,"",AD29)</f>
        <v/>
      </c>
      <c r="N29" s="300"/>
      <c r="O29" s="300"/>
      <c r="S29" s="37" t="s">
        <v>1788</v>
      </c>
      <c r="T29" s="38"/>
      <c r="U29" s="348" t="e">
        <f>SUM(U25:U28)</f>
        <v>#N/A</v>
      </c>
      <c r="V29" s="349"/>
      <c r="W29" s="348" t="e">
        <f>SUM(W25:W28)</f>
        <v>#N/A</v>
      </c>
      <c r="X29" s="349"/>
      <c r="Y29" s="348" t="e">
        <f>SUM(Y25:Y28)</f>
        <v>#N/A</v>
      </c>
      <c r="Z29" s="349"/>
      <c r="AA29" s="348" t="e">
        <f>SUM(AA25:AA28)</f>
        <v>#N/A</v>
      </c>
      <c r="AB29" s="349"/>
      <c r="AC29" s="348" t="e">
        <f>SUM(AC25:AC28)</f>
        <v>#N/A</v>
      </c>
      <c r="AD29" s="349"/>
      <c r="AE29" s="348" t="e">
        <f>SUM(AE25:AE28)</f>
        <v>#N/A</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c r="N31" s="366" t="str">
        <f>AD31</f>
        <v>13.04.</v>
      </c>
      <c r="O31" s="366"/>
      <c r="P31" s="368"/>
      <c r="Q31" s="368"/>
      <c r="R31" s="368"/>
      <c r="S31" s="7" t="s">
        <v>1798</v>
      </c>
      <c r="T31" s="25"/>
      <c r="U31" s="30" t="s">
        <v>1782</v>
      </c>
      <c r="V31" s="76" t="str">
        <f>Schlüssel!$C$1</f>
        <v>Landesliga Nord Frauen</v>
      </c>
      <c r="X31" s="25"/>
      <c r="Y31" s="25"/>
      <c r="Z31" s="25"/>
      <c r="AA31" s="25"/>
      <c r="AC31" s="29"/>
      <c r="AD31" s="353" t="str">
        <f>Schlüssel!$CO$1</f>
        <v>13.04.</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12</v>
      </c>
      <c r="W34" s="192" t="s">
        <v>10</v>
      </c>
      <c r="X34" s="190">
        <f>VLOOKUP(S32,Schlüssel!$A$5:$DF$10,94)</f>
        <v>11</v>
      </c>
      <c r="Y34" s="192" t="s">
        <v>10</v>
      </c>
      <c r="Z34" s="190">
        <f>VLOOKUP(S32,Schlüssel!$A$5:$DF$10,95)</f>
        <v>12</v>
      </c>
      <c r="AA34" s="192" t="s">
        <v>10</v>
      </c>
      <c r="AB34" s="190">
        <f>VLOOKUP(S32,Schlüssel!$A$5:$DF$10,96)</f>
        <v>11</v>
      </c>
      <c r="AC34" s="192" t="s">
        <v>10</v>
      </c>
      <c r="AD34" s="191">
        <f>VLOOKUP(S32,Schlüssel!$A$5:$DF$10,97)</f>
        <v>12</v>
      </c>
      <c r="AE34" s="192" t="s">
        <v>10</v>
      </c>
      <c r="AF34" s="191">
        <f>VLOOKUP(S32,Schlüssel!$A$5:$DF$10,98)</f>
        <v>11</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f>IF(V37="","",V37)</f>
        <v>0</v>
      </c>
      <c r="F37" s="14" t="str">
        <f t="shared" ref="F37:F50" si="27">IF(W37=0,"",W37)</f>
        <v/>
      </c>
      <c r="G37" s="350">
        <f>IF(X37="","",X37)</f>
        <v>0</v>
      </c>
      <c r="H37" s="14" t="str">
        <f t="shared" ref="H37:H50" si="28">IF(Y37=0,"",Y37)</f>
        <v/>
      </c>
      <c r="I37" s="350">
        <f>IF(Z37="","",Z37)</f>
        <v>0</v>
      </c>
      <c r="J37" s="14" t="str">
        <f t="shared" ref="J37:J50" si="29">IF(AA37=0,"",AA37)</f>
        <v/>
      </c>
      <c r="K37" s="350">
        <f>IF(AB37="","",AB37)</f>
        <v>0</v>
      </c>
      <c r="L37" s="14" t="str">
        <f t="shared" ref="L37:L50" si="30">IF(AC37=0,"",AC37)</f>
        <v/>
      </c>
      <c r="M37" s="350">
        <f>IF(AD37="","",AD37)</f>
        <v>0</v>
      </c>
      <c r="N37" s="14" t="str">
        <f t="shared" ref="N37:N50" si="31">IF(AG37=0,"",AG37)</f>
        <v/>
      </c>
      <c r="O37" s="350">
        <f>IF(AH37="","",AH37)</f>
        <v>0</v>
      </c>
      <c r="R37" s="357"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1" t="s">
        <v>2</v>
      </c>
      <c r="B40" s="17" t="str">
        <f t="shared" si="48"/>
        <v/>
      </c>
      <c r="C40" s="18" t="str">
        <f t="shared" si="48"/>
        <v/>
      </c>
      <c r="D40" s="14" t="str">
        <f t="shared" si="48"/>
        <v/>
      </c>
      <c r="E40" s="350">
        <f>IF(V40="","",V40)</f>
        <v>0</v>
      </c>
      <c r="F40" s="14" t="str">
        <f t="shared" si="27"/>
        <v/>
      </c>
      <c r="G40" s="350">
        <f>IF(X40="","",X40)</f>
        <v>0</v>
      </c>
      <c r="H40" s="14" t="str">
        <f t="shared" si="28"/>
        <v/>
      </c>
      <c r="I40" s="350">
        <f>IF(Z40="","",Z40)</f>
        <v>0</v>
      </c>
      <c r="J40" s="14" t="str">
        <f t="shared" si="29"/>
        <v/>
      </c>
      <c r="K40" s="350">
        <f>IF(AB40="","",AB40)</f>
        <v>0</v>
      </c>
      <c r="L40" s="14" t="str">
        <f t="shared" si="30"/>
        <v/>
      </c>
      <c r="M40" s="350">
        <f>IF(AD40="","",AD40)</f>
        <v>0</v>
      </c>
      <c r="N40" s="14" t="str">
        <f t="shared" si="31"/>
        <v/>
      </c>
      <c r="O40" s="350">
        <f>IF(AH40="","",AH40)</f>
        <v>0</v>
      </c>
      <c r="R40" s="357"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1" t="s">
        <v>3</v>
      </c>
      <c r="B43" s="17" t="str">
        <f t="shared" si="48"/>
        <v/>
      </c>
      <c r="C43" s="18" t="str">
        <f t="shared" si="48"/>
        <v/>
      </c>
      <c r="D43" s="14" t="str">
        <f t="shared" si="48"/>
        <v/>
      </c>
      <c r="E43" s="350">
        <f>IF(V43="","",V43)</f>
        <v>0</v>
      </c>
      <c r="F43" s="14" t="str">
        <f t="shared" si="27"/>
        <v/>
      </c>
      <c r="G43" s="350">
        <f>IF(X43="","",X43)</f>
        <v>0</v>
      </c>
      <c r="H43" s="14" t="str">
        <f t="shared" si="28"/>
        <v/>
      </c>
      <c r="I43" s="350">
        <f>IF(Z43="","",Z43)</f>
        <v>0</v>
      </c>
      <c r="J43" s="14" t="str">
        <f t="shared" si="29"/>
        <v/>
      </c>
      <c r="K43" s="350">
        <f>IF(AB43="","",AB43)</f>
        <v>0</v>
      </c>
      <c r="L43" s="14" t="str">
        <f t="shared" si="30"/>
        <v/>
      </c>
      <c r="M43" s="350">
        <f>IF(AD43="","",AD43)</f>
        <v>0</v>
      </c>
      <c r="N43" s="14" t="str">
        <f t="shared" si="31"/>
        <v/>
      </c>
      <c r="O43" s="350">
        <f>IF(AH43="","",AH43)</f>
        <v>0</v>
      </c>
      <c r="R43" s="357"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1" t="s">
        <v>11</v>
      </c>
      <c r="B46" s="17" t="str">
        <f>IF(S46=0,"",S46)</f>
        <v/>
      </c>
      <c r="C46" s="18" t="str">
        <f t="shared" si="48"/>
        <v/>
      </c>
      <c r="D46" s="14" t="str">
        <f t="shared" si="48"/>
        <v/>
      </c>
      <c r="E46" s="350">
        <f>IF(V46="","",V46)</f>
        <v>0</v>
      </c>
      <c r="F46" s="14" t="str">
        <f t="shared" si="27"/>
        <v/>
      </c>
      <c r="G46" s="350">
        <f>IF(X46="","",X46)</f>
        <v>0</v>
      </c>
      <c r="H46" s="14" t="str">
        <f t="shared" si="28"/>
        <v/>
      </c>
      <c r="I46" s="350">
        <f>IF(Z46="","",Z46)</f>
        <v>0</v>
      </c>
      <c r="J46" s="14" t="str">
        <f t="shared" si="29"/>
        <v/>
      </c>
      <c r="K46" s="350">
        <f>IF(AB46="","",AB46)</f>
        <v>0</v>
      </c>
      <c r="L46" s="14" t="str">
        <f t="shared" si="30"/>
        <v/>
      </c>
      <c r="M46" s="350">
        <f>IF(AD46="","",AD46)</f>
        <v>0</v>
      </c>
      <c r="N46" s="14" t="str">
        <f t="shared" si="31"/>
        <v/>
      </c>
      <c r="O46" s="350">
        <f>IF(AH46="","",AH46)</f>
        <v>0</v>
      </c>
      <c r="R46" s="357"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3">
        <f t="shared" si="51"/>
        <v>3</v>
      </c>
      <c r="E52" s="363" t="str">
        <f t="shared" si="51"/>
        <v/>
      </c>
      <c r="F52" s="363">
        <f t="shared" si="51"/>
        <v>3</v>
      </c>
      <c r="G52" s="363" t="str">
        <f t="shared" si="51"/>
        <v/>
      </c>
      <c r="H52" s="363">
        <f t="shared" si="51"/>
        <v>3</v>
      </c>
      <c r="I52" s="363" t="str">
        <f t="shared" si="51"/>
        <v/>
      </c>
      <c r="J52" s="363">
        <f t="shared" si="51"/>
        <v>3</v>
      </c>
      <c r="K52" s="363" t="str">
        <f t="shared" si="51"/>
        <v/>
      </c>
      <c r="L52" s="363">
        <f t="shared" si="51"/>
        <v>3</v>
      </c>
      <c r="M52" s="363" t="str">
        <f t="shared" si="51"/>
        <v/>
      </c>
      <c r="N52" s="364"/>
      <c r="O52" s="364"/>
      <c r="S52" s="13" t="s">
        <v>1786</v>
      </c>
      <c r="T52" s="5" t="s">
        <v>1787</v>
      </c>
      <c r="U52" s="369">
        <f>VLOOKUP($S32,Schlüssel!$A$5:$CX$10,83)</f>
        <v>3</v>
      </c>
      <c r="V52" s="370"/>
      <c r="W52" s="369">
        <f>VLOOKUP($S32,Schlüssel!$A$5:$DQ$10,84)</f>
        <v>3</v>
      </c>
      <c r="X52" s="370"/>
      <c r="Y52" s="369">
        <f>VLOOKUP($S32,Schlüssel!$A$5:$DQ$10,85)</f>
        <v>3</v>
      </c>
      <c r="Z52" s="370"/>
      <c r="AA52" s="369">
        <f>VLOOKUP($S32,Schlüssel!$A$5:$DQ$10,86)</f>
        <v>3</v>
      </c>
      <c r="AB52" s="370"/>
      <c r="AC52" s="369">
        <f>VLOOKUP($S32,Schlüssel!$A$5:$DQ$10,87)</f>
        <v>3</v>
      </c>
      <c r="AD52" s="370"/>
      <c r="AE52" s="369">
        <f>VLOOKUP($S32,Schlüssel!$A$5:$DQ$10,88)</f>
        <v>3</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60" t="str">
        <f t="shared" si="52"/>
        <v>Mainauenbowler Bayreuth Land</v>
      </c>
      <c r="E53" s="361" t="str">
        <f t="shared" si="52"/>
        <v/>
      </c>
      <c r="F53" s="360" t="str">
        <f t="shared" si="52"/>
        <v>Mainauenbowler Bayreuth Land</v>
      </c>
      <c r="G53" s="361" t="str">
        <f t="shared" si="52"/>
        <v/>
      </c>
      <c r="H53" s="360" t="str">
        <f t="shared" si="52"/>
        <v>Mainauenbowler Bayreuth Land</v>
      </c>
      <c r="I53" s="361" t="str">
        <f t="shared" si="52"/>
        <v/>
      </c>
      <c r="J53" s="360" t="str">
        <f t="shared" si="52"/>
        <v>Mainauenbowler Bayreuth Land</v>
      </c>
      <c r="K53" s="361" t="str">
        <f t="shared" si="52"/>
        <v/>
      </c>
      <c r="L53" s="360" t="str">
        <f>IF(AC53=0,"",AC53)</f>
        <v>Mainauenbowler Bayreuth Land</v>
      </c>
      <c r="M53" s="361" t="str">
        <f>IF(AD53=0,"",AD53)</f>
        <v/>
      </c>
      <c r="N53" s="362"/>
      <c r="O53" s="362"/>
      <c r="S53" s="4"/>
      <c r="T53" s="1"/>
      <c r="U53" s="360" t="str">
        <f>VLOOKUP(U52,Schlüssel!$A$5:$K$10,2)</f>
        <v>Mainauenbowler Bayreuth Land</v>
      </c>
      <c r="V53" s="361"/>
      <c r="W53" s="360" t="str">
        <f>VLOOKUP(W52,Schlüssel!$A$5:$K$10,2)</f>
        <v>Mainauenbowler Bayreuth Land</v>
      </c>
      <c r="X53" s="361"/>
      <c r="Y53" s="360" t="str">
        <f>VLOOKUP(Y52,Schlüssel!$A$5:$K$10,2)</f>
        <v>Mainauenbowler Bayreuth Land</v>
      </c>
      <c r="Z53" s="361"/>
      <c r="AA53" s="360" t="str">
        <f>VLOOKUP(AA52,Schlüssel!$A$5:$K$10,2)</f>
        <v>Mainauenbowler Bayreuth Land</v>
      </c>
      <c r="AB53" s="361"/>
      <c r="AC53" s="360" t="str">
        <f>VLOOKUP(AC52,Schlüssel!$A$5:$K$10,2)</f>
        <v>Mainauenbowler Bayreuth Land</v>
      </c>
      <c r="AD53" s="361"/>
      <c r="AE53" s="360" t="str">
        <f>VLOOKUP(AE52,Schlüssel!$A$5:$K$10,2)</f>
        <v>Mainauenbowler Bayreuth Land</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5" t="str">
        <f t="shared" si="52"/>
        <v/>
      </c>
      <c r="E54" s="365" t="str">
        <f t="shared" si="52"/>
        <v/>
      </c>
      <c r="F54" s="365" t="str">
        <f t="shared" si="52"/>
        <v/>
      </c>
      <c r="G54" s="365" t="str">
        <f t="shared" si="52"/>
        <v/>
      </c>
      <c r="H54" s="365" t="str">
        <f t="shared" si="52"/>
        <v/>
      </c>
      <c r="I54" s="365" t="str">
        <f t="shared" si="52"/>
        <v/>
      </c>
      <c r="J54" s="365" t="str">
        <f t="shared" si="52"/>
        <v/>
      </c>
      <c r="K54" s="365" t="str">
        <f t="shared" si="52"/>
        <v/>
      </c>
      <c r="L54" s="365" t="str">
        <f>IF(AC54=0,"",AC54)</f>
        <v/>
      </c>
      <c r="M54" s="365" t="str">
        <f>IF(AD54=0,"",AD54)</f>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f>IF(U55=301,"",U55)</f>
        <v>0</v>
      </c>
      <c r="E55" s="346" t="str">
        <f>IF(V55=0,"",V55)</f>
        <v/>
      </c>
      <c r="F55" s="346">
        <f>IF(W55=301,"",W55)</f>
        <v>0</v>
      </c>
      <c r="G55" s="346" t="str">
        <f>IF(X55=0,"",X55)</f>
        <v/>
      </c>
      <c r="H55" s="346">
        <f>IF(Y55=301,"",Y55)</f>
        <v>0</v>
      </c>
      <c r="I55" s="346" t="str">
        <f>IF(Z55=0,"",Z55)</f>
        <v/>
      </c>
      <c r="J55" s="346">
        <f>IF(AA55=301,"",AA55)</f>
        <v>0</v>
      </c>
      <c r="K55" s="346" t="str">
        <f>IF(AB55=0,"",AB55)</f>
        <v/>
      </c>
      <c r="L55" s="346">
        <f>IF(AC55=301,"",AC55)</f>
        <v>0</v>
      </c>
      <c r="M55" s="346" t="str">
        <f>IF(AD55=0,"",AD55)</f>
        <v/>
      </c>
      <c r="N55" s="354"/>
      <c r="O55" s="354"/>
      <c r="S55" s="35" t="s">
        <v>0</v>
      </c>
      <c r="T55" s="36"/>
      <c r="U55" s="374">
        <f>ABS(INDEX(U:U,MATCH(U52,$S:$S,0)+5)+INDEX(U:U,MATCH(U52,$S:$S,0)+6)+INDEX(U:U,MATCH(U52,$S:$S,0)+7))</f>
        <v>0</v>
      </c>
      <c r="V55" s="375"/>
      <c r="W55" s="374">
        <f>ABS(INDEX(W:W,MATCH(W52,$S:$S,0)+5)+INDEX(W:W,MATCH(W52,$S:$S,0)+6)+INDEX(W:W,MATCH(W52,$S:$S,0)+7))</f>
        <v>0</v>
      </c>
      <c r="X55" s="375"/>
      <c r="Y55" s="374">
        <f>ABS(INDEX(Y:Y,MATCH(Y52,$S:$S,0)+5)+INDEX(Y:Y,MATCH(Y52,$S:$S,0)+6)+INDEX(Y:Y,MATCH(Y52,$S:$S,0)+7))</f>
        <v>0</v>
      </c>
      <c r="Z55" s="375"/>
      <c r="AA55" s="374">
        <f>ABS(INDEX(AA:AA,MATCH(AA52,$S:$S,0)+5)+INDEX(AA:AA,MATCH(AA52,$S:$S,0)+6)+INDEX(AA:AA,MATCH(AA52,$S:$S,0)+7))</f>
        <v>0</v>
      </c>
      <c r="AB55" s="375"/>
      <c r="AC55" s="374">
        <f>ABS(INDEX(AC:AC,MATCH(AC52,$S:$S,0)+5)+INDEX(AC:AC,MATCH(AC52,$S:$S,0)+6)+INDEX(AC:AC,MATCH(AC52,$S:$S,0)+7))</f>
        <v>0</v>
      </c>
      <c r="AD55" s="375"/>
      <c r="AE55" s="374">
        <f>ABS(INDEX(AE:AE,MATCH(AE52,$S:$S,0)+5)+INDEX(AE:AE,MATCH(AE52,$S:$S,0)+6)+INDEX(AE:AE,MATCH(AE52,$S:$S,0)+7))</f>
        <v>0</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f>IF(U56=301,"",U56)</f>
        <v>0</v>
      </c>
      <c r="E56" s="346" t="str">
        <f>IF(V56=0,"",V56)</f>
        <v/>
      </c>
      <c r="F56" s="346">
        <f>IF(W56=301,"",W56)</f>
        <v>0</v>
      </c>
      <c r="G56" s="346" t="str">
        <f>IF(X56=0,"",X56)</f>
        <v/>
      </c>
      <c r="H56" s="346">
        <f>IF(Y56=301,"",Y56)</f>
        <v>0</v>
      </c>
      <c r="I56" s="346" t="str">
        <f>IF(Z56=0,"",Z56)</f>
        <v/>
      </c>
      <c r="J56" s="346">
        <f>IF(AA56=301,"",AA56)</f>
        <v>0</v>
      </c>
      <c r="K56" s="346" t="str">
        <f>IF(AB56=0,"",AB56)</f>
        <v/>
      </c>
      <c r="L56" s="346">
        <f>IF(AC56=301,"",AC56)</f>
        <v>0</v>
      </c>
      <c r="M56" s="346" t="str">
        <f>IF(AD56=0,"",AD56)</f>
        <v/>
      </c>
      <c r="N56" s="354"/>
      <c r="O56" s="354"/>
      <c r="S56" s="35" t="s">
        <v>2</v>
      </c>
      <c r="T56" s="36"/>
      <c r="U56" s="376">
        <f>ABS(INDEX(U:U,MATCH(U52,$S:$S,0)+8)+INDEX(U:U,MATCH(U52,$S:$S,0)+9)+INDEX(U:U,MATCH(U52,$S:$S,0)+10))</f>
        <v>0</v>
      </c>
      <c r="V56" s="377"/>
      <c r="W56" s="376">
        <f>ABS(INDEX(W:W,MATCH(W52,$S:$S,0)+8)+INDEX(W:W,MATCH(W52,$S:$S,0)+9)+INDEX(W:W,MATCH(W52,$S:$S,0)+10))</f>
        <v>0</v>
      </c>
      <c r="X56" s="377"/>
      <c r="Y56" s="376">
        <f>ABS(INDEX(Y:Y,MATCH(Y52,$S:$S,0)+8)+INDEX(Y:Y,MATCH(Y52,$S:$S,0)+9)+INDEX(Y:Y,MATCH(Y52,$S:$S,0)+10))</f>
        <v>0</v>
      </c>
      <c r="Z56" s="377"/>
      <c r="AA56" s="376">
        <f>ABS(INDEX(AA:AA,MATCH(AA52,$S:$S,0)+8)+INDEX(AA:AA,MATCH(AA52,$S:$S,0)+9)+INDEX(AA:AA,MATCH(AA52,$S:$S,0)+10))</f>
        <v>0</v>
      </c>
      <c r="AB56" s="377"/>
      <c r="AC56" s="376">
        <f>ABS(INDEX(AC:AC,MATCH(AC52,$S:$S,0)+8)+INDEX(AC:AC,MATCH(AC52,$S:$S,0)+9)+INDEX(AC:AC,MATCH(AC52,$S:$S,0)+10))</f>
        <v>0</v>
      </c>
      <c r="AD56" s="377"/>
      <c r="AE56" s="376">
        <f>ABS(INDEX(AE:AE,MATCH(AE52,$S:$S,0)+8)+INDEX(AE:AE,MATCH(AE52,$S:$S,0)+9)+INDEX(AE:AE,MATCH(AE52,$S:$S,0)+10))</f>
        <v>0</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f>IF(U57=301,"",U57)</f>
        <v>0</v>
      </c>
      <c r="E57" s="346" t="str">
        <f>IF(V57=0,"",V57)</f>
        <v/>
      </c>
      <c r="F57" s="346">
        <f>IF(W57=301,"",W57)</f>
        <v>0</v>
      </c>
      <c r="G57" s="346" t="str">
        <f>IF(X57=0,"",X57)</f>
        <v/>
      </c>
      <c r="H57" s="346">
        <f>IF(Y57=301,"",Y57)</f>
        <v>0</v>
      </c>
      <c r="I57" s="346" t="str">
        <f>IF(Z57=0,"",Z57)</f>
        <v/>
      </c>
      <c r="J57" s="346">
        <f>IF(AA57=301,"",AA57)</f>
        <v>0</v>
      </c>
      <c r="K57" s="346" t="str">
        <f>IF(AB57=0,"",AB57)</f>
        <v/>
      </c>
      <c r="L57" s="346">
        <f>IF(AC57=301,"",AC57)</f>
        <v>0</v>
      </c>
      <c r="M57" s="346" t="str">
        <f>IF(AD57=0,"",AD57)</f>
        <v/>
      </c>
      <c r="N57" s="354"/>
      <c r="O57" s="354"/>
      <c r="S57" s="35" t="s">
        <v>3</v>
      </c>
      <c r="T57" s="36"/>
      <c r="U57" s="376">
        <f>ABS(INDEX(U:U,MATCH(U52,$S:$S,0)+11)+INDEX(U:U,MATCH(U52,$S:$S,0)+12)+INDEX(U:U,MATCH(U52,$S:$S,0)+13))</f>
        <v>0</v>
      </c>
      <c r="V57" s="377"/>
      <c r="W57" s="376">
        <f>ABS(INDEX(W:W,MATCH(W52,$S:$S,0)+11)+INDEX(W:W,MATCH(W52,$S:$S,0)+12)+INDEX(W:W,MATCH(W52,$S:$S,0)+13))</f>
        <v>0</v>
      </c>
      <c r="X57" s="377"/>
      <c r="Y57" s="376">
        <f>ABS(INDEX(Y:Y,MATCH(Y52,$S:$S,0)+11)+INDEX(Y:Y,MATCH(Y52,$S:$S,0)+12)+INDEX(Y:Y,MATCH(Y52,$S:$S,0)+13))</f>
        <v>0</v>
      </c>
      <c r="Z57" s="377"/>
      <c r="AA57" s="376">
        <f>ABS(INDEX(AA:AA,MATCH(AA52,$S:$S,0)+11)+INDEX(AA:AA,MATCH(AA52,$S:$S,0)+12)+INDEX(AA:AA,MATCH(AA52,$S:$S,0)+13))</f>
        <v>0</v>
      </c>
      <c r="AB57" s="377"/>
      <c r="AC57" s="376">
        <f>ABS(INDEX(AC:AC,MATCH(AC52,$S:$S,0)+11)+INDEX(AC:AC,MATCH(AC52,$S:$S,0)+12)+INDEX(AC:AC,MATCH(AC52,$S:$S,0)+13))</f>
        <v>0</v>
      </c>
      <c r="AD57" s="377"/>
      <c r="AE57" s="376">
        <f>ABS(INDEX(AE:AE,MATCH(AE52,$S:$S,0)+11)+INDEX(AE:AE,MATCH(AE52,$S:$S,0)+12)+INDEX(AE:AE,MATCH(AE52,$S:$S,0)+13))</f>
        <v>0</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f>IF(U58=301,"",U58)</f>
        <v>0</v>
      </c>
      <c r="E58" s="346" t="str">
        <f>IF(V58=0,"",V58)</f>
        <v/>
      </c>
      <c r="F58" s="346">
        <f>IF(W58=301,"",W58)</f>
        <v>0</v>
      </c>
      <c r="G58" s="346" t="str">
        <f>IF(X58=0,"",X58)</f>
        <v/>
      </c>
      <c r="H58" s="346">
        <f>IF(Y58=301,"",Y58)</f>
        <v>0</v>
      </c>
      <c r="I58" s="346" t="str">
        <f>IF(Z58=0,"",Z58)</f>
        <v/>
      </c>
      <c r="J58" s="346">
        <f>IF(AA58=301,"",AA58)</f>
        <v>0</v>
      </c>
      <c r="K58" s="346" t="str">
        <f>IF(AB58=0,"",AB58)</f>
        <v/>
      </c>
      <c r="L58" s="346">
        <f>IF(AC58=301,"",AC58)</f>
        <v>0</v>
      </c>
      <c r="M58" s="346" t="str">
        <f>IF(AD58=0,"",AD58)</f>
        <v/>
      </c>
      <c r="N58" s="354"/>
      <c r="O58" s="354"/>
      <c r="S58" s="35" t="s">
        <v>11</v>
      </c>
      <c r="T58" s="36"/>
      <c r="U58" s="376">
        <f>ABS(INDEX(U:U,MATCH(U52,$S:$S,0)+14)+INDEX(U:U,MATCH(U52,$S:$S,0)+15)+INDEX(U:U,MATCH(U52,$S:$S,0)+16))</f>
        <v>0</v>
      </c>
      <c r="V58" s="377"/>
      <c r="W58" s="376">
        <f>ABS(INDEX(W:W,MATCH(W52,$S:$S,0)+14)+INDEX(W:W,MATCH(W52,$S:$S,0)+15)+INDEX(W:W,MATCH(W52,$S:$S,0)+16))</f>
        <v>0</v>
      </c>
      <c r="X58" s="377"/>
      <c r="Y58" s="376">
        <f>ABS(INDEX(Y:Y,MATCH(Y52,$S:$S,0)+14)+INDEX(Y:Y,MATCH(Y52,$S:$S,0)+15)+INDEX(Y:Y,MATCH(Y52,$S:$S,0)+16))</f>
        <v>0</v>
      </c>
      <c r="Z58" s="377"/>
      <c r="AA58" s="376">
        <f>ABS(INDEX(AA:AA,MATCH(AA52,$S:$S,0)+14)+INDEX(AA:AA,MATCH(AA52,$S:$S,0)+15)+INDEX(AA:AA,MATCH(AA52,$S:$S,0)+16))</f>
        <v>0</v>
      </c>
      <c r="AB58" s="377"/>
      <c r="AC58" s="376">
        <f>ABS(INDEX(AC:AC,MATCH(AC52,$S:$S,0)+14)+INDEX(AC:AC,MATCH(AC52,$S:$S,0)+15)+INDEX(AC:AC,MATCH(AC52,$S:$S,0)+16))</f>
        <v>0</v>
      </c>
      <c r="AD58" s="377"/>
      <c r="AE58" s="376">
        <f>ABS(INDEX(AE:AE,MATCH(AE52,$S:$S,0)+14)+INDEX(AE:AE,MATCH(AE52,$S:$S,0)+15)+INDEX(AE:AE,MATCH(AE52,$S:$S,0)+16))</f>
        <v>0</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f>IF(U59=1505,"",U59)</f>
        <v>0</v>
      </c>
      <c r="E59" s="347" t="str">
        <f>IF(V59=0,"",V59)</f>
        <v/>
      </c>
      <c r="F59" s="347">
        <f>IF(W59=1505,"",W59)</f>
        <v>0</v>
      </c>
      <c r="G59" s="347" t="str">
        <f>IF(X59=0,"",X59)</f>
        <v/>
      </c>
      <c r="H59" s="347">
        <f>IF(Y59=1505,"",Y59)</f>
        <v>0</v>
      </c>
      <c r="I59" s="347" t="str">
        <f>IF(Z59=0,"",Z59)</f>
        <v/>
      </c>
      <c r="J59" s="347">
        <f>IF(AA59=1505,"",AA59)</f>
        <v>0</v>
      </c>
      <c r="K59" s="347" t="str">
        <f>IF(AB59=0,"",AB59)</f>
        <v/>
      </c>
      <c r="L59" s="347">
        <f>IF(AC59=1505,"",AC59)</f>
        <v>0</v>
      </c>
      <c r="M59" s="347" t="str">
        <f>IF(AD59=0,"",AD59)</f>
        <v/>
      </c>
      <c r="N59" s="300"/>
      <c r="O59" s="300"/>
      <c r="S59" s="37" t="s">
        <v>1788</v>
      </c>
      <c r="T59" s="38"/>
      <c r="U59" s="348">
        <f>SUM(U55:U58)</f>
        <v>0</v>
      </c>
      <c r="V59" s="349"/>
      <c r="W59" s="348">
        <f>SUM(W55:W58)</f>
        <v>0</v>
      </c>
      <c r="X59" s="349"/>
      <c r="Y59" s="348">
        <f>SUM(Y55:Y58)</f>
        <v>0</v>
      </c>
      <c r="Z59" s="349"/>
      <c r="AA59" s="348">
        <f>SUM(AA55:AA58)</f>
        <v>0</v>
      </c>
      <c r="AB59" s="349"/>
      <c r="AC59" s="348">
        <f>SUM(AC55:AC58)</f>
        <v>0</v>
      </c>
      <c r="AD59" s="349"/>
      <c r="AE59" s="348">
        <f>SUM(AE55:AE58)</f>
        <v>0</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c r="N61" s="366" t="str">
        <f>AD61</f>
        <v>13.04.</v>
      </c>
      <c r="O61" s="366"/>
      <c r="P61" s="368"/>
      <c r="Q61" s="368"/>
      <c r="R61" s="368"/>
      <c r="S61" s="7" t="s">
        <v>1798</v>
      </c>
      <c r="T61" s="25"/>
      <c r="U61" s="30" t="s">
        <v>1782</v>
      </c>
      <c r="V61" s="76" t="str">
        <f>Schlüssel!$C$1</f>
        <v>Landesliga Nord Frauen</v>
      </c>
      <c r="X61" s="25"/>
      <c r="Y61" s="25"/>
      <c r="Z61" s="25"/>
      <c r="AA61" s="25"/>
      <c r="AC61" s="29"/>
      <c r="AD61" s="353" t="str">
        <f>Schlüssel!$CO$1</f>
        <v>13.04.</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12</v>
      </c>
      <c r="Y64" s="192" t="s">
        <v>10</v>
      </c>
      <c r="Z64" s="190">
        <f>VLOOKUP(S62,Schlüssel!$A$5:$DF$10,95)</f>
        <v>11</v>
      </c>
      <c r="AA64" s="192" t="s">
        <v>10</v>
      </c>
      <c r="AB64" s="190">
        <f>VLOOKUP(S62,Schlüssel!$A$5:$DF$10,96)</f>
        <v>12</v>
      </c>
      <c r="AC64" s="192" t="s">
        <v>10</v>
      </c>
      <c r="AD64" s="191">
        <f>VLOOKUP(S62,Schlüssel!$A$5:$DF$10,97)</f>
        <v>11</v>
      </c>
      <c r="AE64" s="192" t="s">
        <v>10</v>
      </c>
      <c r="AF64" s="191">
        <f>VLOOKUP(S62,Schlüssel!$A$5:$DF$10,98)</f>
        <v>12</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f>IF(V67="","",V67)</f>
        <v>0</v>
      </c>
      <c r="F67" s="14" t="str">
        <f t="shared" ref="F67:F80" si="54">IF(W67=0,"",W67)</f>
        <v/>
      </c>
      <c r="G67" s="350">
        <f>IF(X67="","",X67)</f>
        <v>0</v>
      </c>
      <c r="H67" s="14" t="str">
        <f t="shared" ref="H67:H80" si="55">IF(Y67=0,"",Y67)</f>
        <v/>
      </c>
      <c r="I67" s="350">
        <f>IF(Z67="","",Z67)</f>
        <v>0</v>
      </c>
      <c r="J67" s="14" t="str">
        <f t="shared" ref="J67:J80" si="56">IF(AA67=0,"",AA67)</f>
        <v/>
      </c>
      <c r="K67" s="350">
        <f>IF(AB67="","",AB67)</f>
        <v>0</v>
      </c>
      <c r="L67" s="14" t="str">
        <f t="shared" ref="L67:L80" si="57">IF(AC67=0,"",AC67)</f>
        <v/>
      </c>
      <c r="M67" s="350">
        <f>IF(AD67="","",AD67)</f>
        <v>0</v>
      </c>
      <c r="N67" s="14" t="str">
        <f t="shared" ref="N67:N80" si="58">IF(AG67=0,"",AG67)</f>
        <v/>
      </c>
      <c r="O67" s="350">
        <f>IF(AH67="","",AH67)</f>
        <v>0</v>
      </c>
      <c r="R67" s="357"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1" t="s">
        <v>2</v>
      </c>
      <c r="B70" s="17" t="str">
        <f t="shared" si="75"/>
        <v/>
      </c>
      <c r="C70" s="18" t="str">
        <f t="shared" si="75"/>
        <v/>
      </c>
      <c r="D70" s="14" t="str">
        <f t="shared" si="75"/>
        <v/>
      </c>
      <c r="E70" s="350">
        <f>IF(V70="","",V70)</f>
        <v>0</v>
      </c>
      <c r="F70" s="14" t="str">
        <f t="shared" si="54"/>
        <v/>
      </c>
      <c r="G70" s="350">
        <f>IF(X70="","",X70)</f>
        <v>0</v>
      </c>
      <c r="H70" s="14" t="str">
        <f t="shared" si="55"/>
        <v/>
      </c>
      <c r="I70" s="350">
        <f>IF(Z70="","",Z70)</f>
        <v>0</v>
      </c>
      <c r="J70" s="14" t="str">
        <f t="shared" si="56"/>
        <v/>
      </c>
      <c r="K70" s="350">
        <f>IF(AB70="","",AB70)</f>
        <v>0</v>
      </c>
      <c r="L70" s="14" t="str">
        <f t="shared" si="57"/>
        <v/>
      </c>
      <c r="M70" s="350">
        <f>IF(AD70="","",AD70)</f>
        <v>0</v>
      </c>
      <c r="N70" s="14" t="str">
        <f t="shared" si="58"/>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1" t="s">
        <v>3</v>
      </c>
      <c r="B73" s="17" t="str">
        <f t="shared" si="75"/>
        <v/>
      </c>
      <c r="C73" s="18" t="str">
        <f t="shared" si="75"/>
        <v/>
      </c>
      <c r="D73" s="14" t="str">
        <f t="shared" si="75"/>
        <v/>
      </c>
      <c r="E73" s="350">
        <f>IF(V73="","",V73)</f>
        <v>0</v>
      </c>
      <c r="F73" s="14" t="str">
        <f t="shared" si="54"/>
        <v/>
      </c>
      <c r="G73" s="350">
        <f>IF(X73="","",X73)</f>
        <v>0</v>
      </c>
      <c r="H73" s="14" t="str">
        <f t="shared" si="55"/>
        <v/>
      </c>
      <c r="I73" s="350">
        <f>IF(Z73="","",Z73)</f>
        <v>0</v>
      </c>
      <c r="J73" s="14" t="str">
        <f t="shared" si="56"/>
        <v/>
      </c>
      <c r="K73" s="350">
        <f>IF(AB73="","",AB73)</f>
        <v>0</v>
      </c>
      <c r="L73" s="14" t="str">
        <f t="shared" si="57"/>
        <v/>
      </c>
      <c r="M73" s="350">
        <f>IF(AD73="","",AD73)</f>
        <v>0</v>
      </c>
      <c r="N73" s="14" t="str">
        <f t="shared" si="58"/>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1" t="s">
        <v>11</v>
      </c>
      <c r="B76" s="17" t="str">
        <f>IF(S76=0,"",S76)</f>
        <v/>
      </c>
      <c r="C76" s="18" t="str">
        <f t="shared" si="75"/>
        <v/>
      </c>
      <c r="D76" s="14" t="str">
        <f t="shared" si="75"/>
        <v/>
      </c>
      <c r="E76" s="350">
        <f>IF(V76="","",V76)</f>
        <v>0</v>
      </c>
      <c r="F76" s="14" t="str">
        <f t="shared" si="54"/>
        <v/>
      </c>
      <c r="G76" s="350">
        <f>IF(X76="","",X76)</f>
        <v>0</v>
      </c>
      <c r="H76" s="14" t="str">
        <f t="shared" si="55"/>
        <v/>
      </c>
      <c r="I76" s="350">
        <f>IF(Z76="","",Z76)</f>
        <v>0</v>
      </c>
      <c r="J76" s="14" t="str">
        <f t="shared" si="56"/>
        <v/>
      </c>
      <c r="K76" s="350">
        <f>IF(AB76="","",AB76)</f>
        <v>0</v>
      </c>
      <c r="L76" s="14" t="str">
        <f t="shared" si="57"/>
        <v/>
      </c>
      <c r="M76" s="350">
        <f>IF(AD76="","",AD76)</f>
        <v>0</v>
      </c>
      <c r="N76" s="14" t="str">
        <f t="shared" si="58"/>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3">
        <f t="shared" si="78"/>
        <v>2</v>
      </c>
      <c r="E82" s="363" t="str">
        <f t="shared" si="78"/>
        <v/>
      </c>
      <c r="F82" s="363">
        <f t="shared" si="78"/>
        <v>2</v>
      </c>
      <c r="G82" s="363" t="str">
        <f t="shared" si="78"/>
        <v/>
      </c>
      <c r="H82" s="363">
        <f t="shared" si="78"/>
        <v>2</v>
      </c>
      <c r="I82" s="363" t="str">
        <f t="shared" si="78"/>
        <v/>
      </c>
      <c r="J82" s="363">
        <f t="shared" si="78"/>
        <v>2</v>
      </c>
      <c r="K82" s="363" t="str">
        <f t="shared" si="78"/>
        <v/>
      </c>
      <c r="L82" s="363">
        <f t="shared" si="78"/>
        <v>2</v>
      </c>
      <c r="M82" s="363" t="str">
        <f t="shared" si="78"/>
        <v/>
      </c>
      <c r="N82" s="364"/>
      <c r="O82" s="364"/>
      <c r="S82" s="13" t="s">
        <v>1786</v>
      </c>
      <c r="T82" s="5" t="s">
        <v>1787</v>
      </c>
      <c r="U82" s="369">
        <f>VLOOKUP($S62,Schlüssel!$A$5:$CX$10,83)</f>
        <v>2</v>
      </c>
      <c r="V82" s="370"/>
      <c r="W82" s="369">
        <f>VLOOKUP($S62,Schlüssel!$A$5:$DQ$10,84)</f>
        <v>2</v>
      </c>
      <c r="X82" s="370"/>
      <c r="Y82" s="369">
        <f>VLOOKUP($S62,Schlüssel!$A$5:$DQ$10,85)</f>
        <v>2</v>
      </c>
      <c r="Z82" s="370"/>
      <c r="AA82" s="369">
        <f>VLOOKUP($S62,Schlüssel!$A$5:$DQ$10,86)</f>
        <v>2</v>
      </c>
      <c r="AB82" s="370"/>
      <c r="AC82" s="369">
        <f>VLOOKUP($S62,Schlüssel!$A$5:$DQ$10,87)</f>
        <v>2</v>
      </c>
      <c r="AD82" s="370"/>
      <c r="AE82" s="369">
        <f>VLOOKUP($S62,Schlüssel!$A$5:$DQ$10,88)</f>
        <v>2</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60" t="str">
        <f t="shared" si="79"/>
        <v>BC Phönix Lauf</v>
      </c>
      <c r="E83" s="361" t="str">
        <f t="shared" si="79"/>
        <v/>
      </c>
      <c r="F83" s="360" t="str">
        <f t="shared" si="79"/>
        <v>BC Phönix Lauf</v>
      </c>
      <c r="G83" s="361" t="str">
        <f t="shared" si="79"/>
        <v/>
      </c>
      <c r="H83" s="360" t="str">
        <f t="shared" si="79"/>
        <v>BC Phönix Lauf</v>
      </c>
      <c r="I83" s="361" t="str">
        <f t="shared" si="79"/>
        <v/>
      </c>
      <c r="J83" s="360" t="str">
        <f t="shared" si="79"/>
        <v>BC Phönix Lauf</v>
      </c>
      <c r="K83" s="361" t="str">
        <f t="shared" si="79"/>
        <v/>
      </c>
      <c r="L83" s="360" t="str">
        <f>IF(AC83=0,"",AC83)</f>
        <v>BC Phönix Lauf</v>
      </c>
      <c r="M83" s="361" t="str">
        <f>IF(AD83=0,"",AD83)</f>
        <v/>
      </c>
      <c r="N83" s="362"/>
      <c r="O83" s="362"/>
      <c r="S83" s="4"/>
      <c r="T83" s="1"/>
      <c r="U83" s="360" t="str">
        <f>VLOOKUP(U82,Schlüssel!$A$5:$K$10,2)</f>
        <v>BC Phönix Lauf</v>
      </c>
      <c r="V83" s="361"/>
      <c r="W83" s="360" t="str">
        <f>VLOOKUP(W82,Schlüssel!$A$5:$K$10,2)</f>
        <v>BC Phönix Lauf</v>
      </c>
      <c r="X83" s="361"/>
      <c r="Y83" s="360" t="str">
        <f>VLOOKUP(Y82,Schlüssel!$A$5:$K$10,2)</f>
        <v>BC Phönix Lauf</v>
      </c>
      <c r="Z83" s="361"/>
      <c r="AA83" s="360" t="str">
        <f>VLOOKUP(AA82,Schlüssel!$A$5:$K$10,2)</f>
        <v>BC Phönix Lauf</v>
      </c>
      <c r="AB83" s="361"/>
      <c r="AC83" s="360" t="str">
        <f>VLOOKUP(AC82,Schlüssel!$A$5:$K$10,2)</f>
        <v>BC Phönix Lauf</v>
      </c>
      <c r="AD83" s="361"/>
      <c r="AE83" s="360" t="str">
        <f>VLOOKUP(AE82,Schlüssel!$A$5:$K$10,2)</f>
        <v>BC Phönix Lauf</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5" t="str">
        <f t="shared" si="79"/>
        <v/>
      </c>
      <c r="E84" s="365" t="str">
        <f t="shared" si="79"/>
        <v/>
      </c>
      <c r="F84" s="365" t="str">
        <f t="shared" si="79"/>
        <v/>
      </c>
      <c r="G84" s="365" t="str">
        <f t="shared" si="79"/>
        <v/>
      </c>
      <c r="H84" s="365" t="str">
        <f t="shared" si="79"/>
        <v/>
      </c>
      <c r="I84" s="365" t="str">
        <f t="shared" si="79"/>
        <v/>
      </c>
      <c r="J84" s="365" t="str">
        <f t="shared" si="79"/>
        <v/>
      </c>
      <c r="K84" s="365" t="str">
        <f t="shared" si="79"/>
        <v/>
      </c>
      <c r="L84" s="365" t="str">
        <f>IF(AC84=0,"",AC84)</f>
        <v/>
      </c>
      <c r="M84" s="365" t="str">
        <f>IF(AD84=0,"",AD84)</f>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0</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0</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0</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C85:AD85"/>
    <mergeCell ref="U86:V86"/>
    <mergeCell ref="W86:X86"/>
    <mergeCell ref="Y86:Z86"/>
    <mergeCell ref="AA86:AB86"/>
    <mergeCell ref="AC86:AD86"/>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56:V56"/>
    <mergeCell ref="W56:X56"/>
    <mergeCell ref="Y56:Z56"/>
    <mergeCell ref="AA56:AB56"/>
    <mergeCell ref="AC56:AD56"/>
    <mergeCell ref="U57:V57"/>
    <mergeCell ref="W57:X57"/>
    <mergeCell ref="Y57:Z57"/>
    <mergeCell ref="AA57:AB57"/>
    <mergeCell ref="AC57:AD57"/>
    <mergeCell ref="Y52:Z52"/>
    <mergeCell ref="AA52:AB52"/>
    <mergeCell ref="AC52:AD52"/>
    <mergeCell ref="AE35:AF35"/>
    <mergeCell ref="AE52:AF52"/>
    <mergeCell ref="AC35:AD35"/>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U25:V25"/>
    <mergeCell ref="W25:X25"/>
    <mergeCell ref="Y25:Z25"/>
    <mergeCell ref="AA25:AB25"/>
    <mergeCell ref="AC25:AD25"/>
    <mergeCell ref="U26:V26"/>
    <mergeCell ref="W26:X26"/>
    <mergeCell ref="Y26:Z26"/>
    <mergeCell ref="AA26:AB26"/>
    <mergeCell ref="AC26:AD26"/>
    <mergeCell ref="AA5:AB5"/>
    <mergeCell ref="AC5:AD5"/>
    <mergeCell ref="AG5:AH5"/>
    <mergeCell ref="U22:V22"/>
    <mergeCell ref="W22:X22"/>
    <mergeCell ref="Y22:Z22"/>
    <mergeCell ref="AA22:AB22"/>
    <mergeCell ref="AC22:AD22"/>
    <mergeCell ref="AE5:AF5"/>
    <mergeCell ref="AE22:AF22"/>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N65:O65"/>
    <mergeCell ref="D65:E65"/>
    <mergeCell ref="F65:G65"/>
    <mergeCell ref="H65:I65"/>
    <mergeCell ref="J65:K65"/>
    <mergeCell ref="L65:M65"/>
    <mergeCell ref="P61:R61"/>
    <mergeCell ref="AD61:AH61"/>
    <mergeCell ref="N59:O59"/>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D5:E5"/>
    <mergeCell ref="F5:G5"/>
    <mergeCell ref="H5:I5"/>
    <mergeCell ref="J5:K5"/>
    <mergeCell ref="L5:M5"/>
    <mergeCell ref="P1:R1"/>
    <mergeCell ref="O10:O12"/>
    <mergeCell ref="R10:R12"/>
    <mergeCell ref="O7:O9"/>
    <mergeCell ref="R7:R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AE85:AF85"/>
    <mergeCell ref="AE86:AF86"/>
    <mergeCell ref="AE87:AF87"/>
    <mergeCell ref="AE88:AF88"/>
    <mergeCell ref="AE89:AF89"/>
    <mergeCell ref="AE55:AF55"/>
    <mergeCell ref="AE56:AF56"/>
    <mergeCell ref="AE57:AF57"/>
    <mergeCell ref="AE58:AF58"/>
    <mergeCell ref="AE59:AF59"/>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+Erfassung5!AD1</f>
        <v>13.04.</v>
      </c>
      <c r="Q1" s="390"/>
      <c r="R1" s="51"/>
      <c r="S1" s="51"/>
      <c r="AA1" s="223" t="s">
        <v>2086</v>
      </c>
    </row>
    <row r="2" spans="1:31" ht="28.5" customHeight="1" x14ac:dyDescent="0.25">
      <c r="A2" s="391" t="str">
        <f>"Saison "&amp;Spielorte!C18&amp;"     -     Spieltag "&amp;Erfassung5!AD2&amp;"     -     "&amp;TEXT(Erfassung5!AD1,"T. MMMM JJJJ")</f>
        <v>Saison 2024/2025     -     Spieltag 5     -     13.04.</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+Erfassung5!V2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Kleeblatt Fürth</v>
      </c>
      <c r="C7" s="99">
        <f>INDEX(Erfassung5!U:U,MATCH($A7,Erfassung5!$BO:$BO,0)-1)</f>
        <v>0</v>
      </c>
      <c r="D7" s="100" t="e">
        <f>INDEX(Erfassung5!V:V,MATCH($A7,Erfassung5!$BO:$BO,0))</f>
        <v>#N/A</v>
      </c>
      <c r="E7" s="99">
        <f>INDEX(Erfassung5!W:W,MATCH($A7,Erfassung5!$BO:$BO,0)-1)</f>
        <v>0</v>
      </c>
      <c r="F7" s="100" t="e">
        <f>INDEX(Erfassung5!X:X,MATCH($A7,Erfassung5!$BO:$BO,0))</f>
        <v>#N/A</v>
      </c>
      <c r="G7" s="99">
        <f>INDEX(Erfassung5!Y:Y,MATCH($A7,Erfassung5!$BO:$BO,0)-1)</f>
        <v>0</v>
      </c>
      <c r="H7" s="100" t="e">
        <f>INDEX(Erfassung5!Z:Z,MATCH($A7,Erfassung5!$BO:$BO,0))</f>
        <v>#N/A</v>
      </c>
      <c r="I7" s="99">
        <f>INDEX(Erfassung5!AA:AA,MATCH($A7,Erfassung5!$BO:$BO,0)-1)</f>
        <v>0</v>
      </c>
      <c r="J7" s="100" t="e">
        <f>INDEX(Erfassung5!AB:AB,MATCH($A7,Erfassung5!$BO:$BO,0))</f>
        <v>#N/A</v>
      </c>
      <c r="K7" s="99">
        <f>INDEX(Erfassung5!AC:AC,MATCH($A7,Erfassung5!$BO:$BO,0)-1)</f>
        <v>0</v>
      </c>
      <c r="L7" s="100" t="e">
        <f>INDEX(Erfassung5!AD:AD,MATCH($A7,Erfassung5!$BO:$BO,0))</f>
        <v>#N/A</v>
      </c>
      <c r="M7" s="99">
        <f>INDEX(Erfassung5!AE:AE,MATCH($A7,Erfassung5!$BO:$BO,0)-1)</f>
        <v>0</v>
      </c>
      <c r="N7" s="100" t="e">
        <f>INDEX(Erfassung5!AF:AF,MATCH($A7,Erfassung5!$BO:$BO,0))</f>
        <v>#N/A</v>
      </c>
      <c r="O7" s="101">
        <f t="shared" ref="O7:P9" si="0">SUM(C7+E7+G7+I7+K7+M7)</f>
        <v>0</v>
      </c>
      <c r="P7" s="102" t="e">
        <f t="shared" si="0"/>
        <v>#N/A</v>
      </c>
      <c r="Q7" s="75">
        <f>IFERROR(O7/INDEX(Erfassung5!BF:BF,MATCH(A7,Erfassung5!BO:BO,0)),0)</f>
        <v>0</v>
      </c>
      <c r="R7" s="122"/>
      <c r="S7" s="51"/>
      <c r="AA7" s="221" t="e">
        <f>INDEX(TabGes4!K:K,MATCH(B7,TabGes4!B:B,0))+O7</f>
        <v>#N/A</v>
      </c>
      <c r="AB7" s="221">
        <f>IFERROR(INDEX(TabGes4!L:L,MATCH(B7,TabGes4!B:B,0)),0)+IFERROR(P7,0)</f>
        <v>0</v>
      </c>
      <c r="AC7" s="223" t="e">
        <f>+AB7+AA7/1000000000</f>
        <v>#N/A</v>
      </c>
      <c r="AD7" s="223" t="e">
        <f>RANK(AC7,AC:AC)</f>
        <v>#N/A</v>
      </c>
      <c r="AE7" s="223">
        <f>INDEX(Tabelle4!AE:AE,MATCH(B7,Tabelle4!B:B,0))+SUMIF(Erfassung5!BR:BR,B7,Erfassung5!BF:BF)</f>
        <v>49</v>
      </c>
    </row>
    <row r="8" spans="1:31" ht="42" customHeight="1" thickBot="1" x14ac:dyDescent="0.3">
      <c r="A8" s="217">
        <v>2</v>
      </c>
      <c r="B8" s="121" t="e">
        <f>INDEX(Erfassung5!$S:$S,MATCH($A8,Erfassung5!$BO:$BO,0)-17)</f>
        <v>#N/A</v>
      </c>
      <c r="C8" s="99" t="e">
        <f>INDEX(Erfassung5!U:U,MATCH($A8,Erfassung5!$BO:$BO,0)-1)</f>
        <v>#N/A</v>
      </c>
      <c r="D8" s="100" t="e">
        <f>INDEX(Erfassung5!V:V,MATCH($A8,Erfassung5!$BO:$BO,0))</f>
        <v>#N/A</v>
      </c>
      <c r="E8" s="99" t="e">
        <f>INDEX(Erfassung5!W:W,MATCH($A8,Erfassung5!$BO:$BO,0)-1)</f>
        <v>#N/A</v>
      </c>
      <c r="F8" s="100" t="e">
        <f>INDEX(Erfassung5!X:X,MATCH($A8,Erfassung5!$BO:$BO,0))</f>
        <v>#N/A</v>
      </c>
      <c r="G8" s="99" t="e">
        <f>INDEX(Erfassung5!Y:Y,MATCH($A8,Erfassung5!$BO:$BO,0)-1)</f>
        <v>#N/A</v>
      </c>
      <c r="H8" s="100" t="e">
        <f>INDEX(Erfassung5!Z:Z,MATCH($A8,Erfassung5!$BO:$BO,0))</f>
        <v>#N/A</v>
      </c>
      <c r="I8" s="99" t="e">
        <f>INDEX(Erfassung5!AA:AA,MATCH($A8,Erfassung5!$BO:$BO,0)-1)</f>
        <v>#N/A</v>
      </c>
      <c r="J8" s="100" t="e">
        <f>INDEX(Erfassung5!AB:AB,MATCH($A8,Erfassung5!$BO:$BO,0))</f>
        <v>#N/A</v>
      </c>
      <c r="K8" s="99" t="e">
        <f>INDEX(Erfassung5!AC:AC,MATCH($A8,Erfassung5!$BO:$BO,0)-1)</f>
        <v>#N/A</v>
      </c>
      <c r="L8" s="100" t="e">
        <f>INDEX(Erfassung5!AD:AD,MATCH($A8,Erfassung5!$BO:$BO,0))</f>
        <v>#N/A</v>
      </c>
      <c r="M8" s="99" t="e">
        <f>INDEX(Erfassung5!AE:AE,MATCH($A8,Erfassung5!$BO:$BO,0)-1)</f>
        <v>#N/A</v>
      </c>
      <c r="N8" s="100" t="e">
        <f>INDEX(Erfassung5!AF:AF,MATCH($A8,Erfassung5!$BO:$BO,0))</f>
        <v>#N/A</v>
      </c>
      <c r="O8" s="101" t="e">
        <f t="shared" si="0"/>
        <v>#N/A</v>
      </c>
      <c r="P8" s="102" t="e">
        <f t="shared" si="0"/>
        <v>#N/A</v>
      </c>
      <c r="Q8" s="75">
        <f>IFERROR(O8/INDEX(Erfassung5!BF:BF,MATCH(A8,Erfassung5!BO:BO,0)),0)</f>
        <v>0</v>
      </c>
      <c r="R8" s="122"/>
      <c r="S8" s="51"/>
      <c r="AA8" s="221" t="e">
        <f>INDEX(TabGes4!K:K,MATCH(B8,TabGes4!B:B,0))+O8</f>
        <v>#N/A</v>
      </c>
      <c r="AB8" s="221">
        <f>IFERROR(INDEX(TabGes4!L:L,MATCH(B8,TabGes4!B:B,0)),0)+IFERROR(P8,0)</f>
        <v>0</v>
      </c>
      <c r="AC8" s="223" t="e">
        <f>+AB8+AA8/1000000000</f>
        <v>#N/A</v>
      </c>
      <c r="AD8" s="223" t="e">
        <f>RANK(AC8,AC:AC)</f>
        <v>#N/A</v>
      </c>
      <c r="AE8" s="223" t="e">
        <f>INDEX(Tabelle4!AE:AE,MATCH(B8,Tabelle4!B:B,0))+SUMIF(Erfassung5!BR:BR,B8,Erfassung5!BF:BF)</f>
        <v>#N/A</v>
      </c>
    </row>
    <row r="9" spans="1:31" ht="42" hidden="1" customHeight="1" thickBot="1" x14ac:dyDescent="0.3">
      <c r="A9" s="217">
        <v>3</v>
      </c>
      <c r="B9" s="121" t="e">
        <f>INDEX(Erfassung5!$S:$S,MATCH($A9,Erfassung5!$BO:$BO,0)-17)</f>
        <v>#N/A</v>
      </c>
      <c r="C9" s="99" t="e">
        <f>INDEX(Erfassung5!U:U,MATCH($A9,Erfassung5!$BO:$BO,0)-1)</f>
        <v>#N/A</v>
      </c>
      <c r="D9" s="100" t="e">
        <f>INDEX(Erfassung5!V:V,MATCH($A9,Erfassung5!$BO:$BO,0))</f>
        <v>#N/A</v>
      </c>
      <c r="E9" s="99" t="e">
        <f>INDEX(Erfassung5!W:W,MATCH($A9,Erfassung5!$BO:$BO,0)-1)</f>
        <v>#N/A</v>
      </c>
      <c r="F9" s="100" t="e">
        <f>INDEX(Erfassung5!X:X,MATCH($A9,Erfassung5!$BO:$BO,0))</f>
        <v>#N/A</v>
      </c>
      <c r="G9" s="99" t="e">
        <f>INDEX(Erfassung5!Y:Y,MATCH($A9,Erfassung5!$BO:$BO,0)-1)</f>
        <v>#N/A</v>
      </c>
      <c r="H9" s="100" t="e">
        <f>INDEX(Erfassung5!Z:Z,MATCH($A9,Erfassung5!$BO:$BO,0))</f>
        <v>#N/A</v>
      </c>
      <c r="I9" s="99" t="e">
        <f>INDEX(Erfassung5!AA:AA,MATCH($A9,Erfassung5!$BO:$BO,0)-1)</f>
        <v>#N/A</v>
      </c>
      <c r="J9" s="100" t="e">
        <f>INDEX(Erfassung5!AB:AB,MATCH($A9,Erfassung5!$BO:$BO,0))</f>
        <v>#N/A</v>
      </c>
      <c r="K9" s="99" t="e">
        <f>INDEX(Erfassung5!AC:AC,MATCH($A9,Erfassung5!$BO:$BO,0)-1)</f>
        <v>#N/A</v>
      </c>
      <c r="L9" s="100" t="e">
        <f>INDEX(Erfassung5!AD:AD,MATCH($A9,Erfassung5!$BO:$BO,0))</f>
        <v>#N/A</v>
      </c>
      <c r="M9" s="99" t="e">
        <f>INDEX(Erfassung5!AE:AE,MATCH($A9,Erfassung5!$BO:$BO,0)-1)</f>
        <v>#N/A</v>
      </c>
      <c r="N9" s="100" t="e">
        <f>INDEX(Erfassung5!AF:AF,MATCH($A9,Erfassung5!$BO:$BO,0))</f>
        <v>#N/A</v>
      </c>
      <c r="O9" s="101" t="e">
        <f t="shared" si="0"/>
        <v>#N/A</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t="e">
        <f>INDEX(Tabelle4!AE:AE,MATCH(B9,Tabelle4!B:B,0))+SUMIF(Erfassung5!BR:BR,B9,Erfassung5!BF:BF)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IFERROR(INDEX(Erfassung5!S:S,MATCH(1,Erfassung5!BS:BS,0)),"")</f>
        <v/>
      </c>
      <c r="H14" t="str">
        <f>INDEX(Erfassung5!BR:BR,MATCH(C14,Erfassung5!S:S,0))</f>
        <v>Kleeblatt Fürth</v>
      </c>
      <c r="N14" s="104">
        <f>IFERROR(ROUND(INDEX(Erfassung5!BQ:BQ,MATCH(1,Erfassung5!BS:BS,0)),0),"")</f>
        <v>0</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
      </c>
      <c r="H17" t="str">
        <f>INDEX(Erfassung5!BR:BR,MATCH(C17,Erfassung5!S:S,0))</f>
        <v>Kleeblatt Fürth</v>
      </c>
      <c r="N17" s="381" t="str">
        <f>IFERROR(ROUND(INDEX(Erfassung5!BT:BT,MATCH(1,Erfassung5!BW:BW,0)),0),"")&amp;"  /  "&amp;ROUND(IFERROR(ROUND(INDEX(Erfassung5!BT:BT,MATCH(1,Erfassung5!BW:BW,0)),0),"")/6,2)</f>
        <v>0  /  0</v>
      </c>
      <c r="O17" s="381"/>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A9" sqref="A9:IV9"/>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8" t="str">
        <f>Schlüssel!$C$1</f>
        <v>Landesliga Nord Frauen</v>
      </c>
      <c r="B1" s="398"/>
      <c r="C1" s="398"/>
      <c r="D1" s="398"/>
      <c r="E1" s="398"/>
      <c r="F1" s="398"/>
      <c r="G1" s="398"/>
      <c r="H1" s="398"/>
      <c r="I1" s="398"/>
      <c r="J1" s="398"/>
      <c r="K1" s="398"/>
      <c r="L1" s="398"/>
      <c r="M1" s="398"/>
      <c r="N1" s="398"/>
      <c r="O1" s="398"/>
    </row>
    <row r="2" spans="1:16" ht="28.5" customHeight="1" x14ac:dyDescent="0.25">
      <c r="A2" s="391" t="str">
        <f>"Saison "&amp;Spielorte!C18&amp;"     -     Spieltag "&amp;Erfassung5!AD2&amp;"     -     "&amp;TEXT(Erfassung5!AD1,"T. MMMM JJJJ")</f>
        <v>Saison 2024/2025     -     Spieltag 5     -     13.04.</v>
      </c>
      <c r="B2" s="391"/>
      <c r="C2" s="391"/>
      <c r="D2" s="391"/>
      <c r="E2" s="391"/>
      <c r="F2" s="391"/>
      <c r="G2" s="391"/>
      <c r="H2" s="391"/>
      <c r="I2" s="391"/>
      <c r="J2" s="391"/>
      <c r="K2" s="391"/>
      <c r="L2" s="391"/>
      <c r="M2" s="391"/>
      <c r="N2" s="391"/>
      <c r="O2" s="391"/>
    </row>
    <row r="3" spans="1:16" ht="28.5" customHeight="1" x14ac:dyDescent="0.25">
      <c r="A3" s="390" t="s">
        <v>1859</v>
      </c>
      <c r="B3" s="390"/>
      <c r="C3" s="390"/>
      <c r="D3" s="390"/>
      <c r="E3" s="390"/>
      <c r="F3" s="390"/>
      <c r="G3" s="390"/>
      <c r="H3" s="390"/>
      <c r="I3" s="390"/>
      <c r="J3" s="390"/>
      <c r="K3" s="390"/>
      <c r="L3" s="390"/>
      <c r="M3" s="390"/>
      <c r="N3" s="390"/>
      <c r="O3" s="390"/>
    </row>
    <row r="4" spans="1:16" ht="28.5" customHeight="1" thickBot="1" x14ac:dyDescent="0.3">
      <c r="A4" s="218"/>
      <c r="B4" s="218"/>
      <c r="C4" s="87"/>
      <c r="D4" s="219"/>
      <c r="E4" s="219"/>
      <c r="F4" s="219"/>
      <c r="G4" s="219"/>
      <c r="H4" s="219"/>
      <c r="I4" s="219"/>
      <c r="J4" s="219"/>
      <c r="K4" s="219"/>
      <c r="L4" s="219"/>
      <c r="M4" s="219"/>
      <c r="N4" s="88"/>
      <c r="O4" s="162"/>
    </row>
    <row r="5" spans="1:16" x14ac:dyDescent="0.25">
      <c r="A5" s="392" t="s">
        <v>1800</v>
      </c>
      <c r="B5" s="387" t="s">
        <v>1801</v>
      </c>
      <c r="C5" s="383" t="s">
        <v>1804</v>
      </c>
      <c r="D5" s="384"/>
      <c r="E5" s="383" t="s">
        <v>1805</v>
      </c>
      <c r="F5" s="384"/>
      <c r="G5" s="383" t="s">
        <v>1806</v>
      </c>
      <c r="H5" s="384"/>
      <c r="I5" s="389" t="s">
        <v>1807</v>
      </c>
      <c r="J5" s="384"/>
      <c r="K5" s="389" t="s">
        <v>1808</v>
      </c>
      <c r="L5" s="384"/>
      <c r="M5" s="383" t="s">
        <v>1788</v>
      </c>
      <c r="N5" s="384"/>
      <c r="O5" s="385" t="s">
        <v>1802</v>
      </c>
    </row>
    <row r="6" spans="1:16"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73" t="s">
        <v>1796</v>
      </c>
      <c r="N6" s="74" t="s">
        <v>1797</v>
      </c>
      <c r="O6" s="386"/>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0</v>
      </c>
      <c r="N2" s="108">
        <f>SUMIF(Erfassung5!BD:BD,L2,Erfassung5!BG:BG)</f>
        <v>0</v>
      </c>
      <c r="O2" s="108">
        <f t="shared" ref="O2:O65" si="0">IF(N2=0,0,M2/N2-ROW()/1000000000)</f>
        <v>0</v>
      </c>
      <c r="P2" s="108">
        <f t="shared" ref="P2:P65" si="1">RANK(O2,O:O)</f>
        <v>1</v>
      </c>
    </row>
    <row r="3" spans="1:16" x14ac:dyDescent="0.25">
      <c r="L3" s="108">
        <f>INDEX(Starter!A:A,ROW()-1)</f>
        <v>38735</v>
      </c>
      <c r="M3" s="108">
        <f>SUMIF(Erfassung5!BD:BD,L3,Erfassung5!BE:BE)</f>
        <v>0</v>
      </c>
      <c r="N3" s="108">
        <f>SUMIF(Erfassung5!BD:BD,L3,Erfassung5!BG:BG)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0</v>
      </c>
      <c r="N4" s="108">
        <f>SUMIF(Erfassung5!BD:BD,L4,Erfassung5!BG:BG)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SUMIF(Erfassung5!BD:BD,L5,Erfassung5!BE:BE)</f>
        <v>0</v>
      </c>
      <c r="N5" s="108">
        <f>SUMIF(Erfassung5!BD:BD,L5,Erfassung5!BG:BG)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SUMIF(Erfassung5!BD:BD,L6,Erfassung5!BE:BE)</f>
        <v>0</v>
      </c>
      <c r="N6" s="108">
        <f>SUMIF(Erfassung5!BD:BD,L6,Erfassung5!BG:BG)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SUMIF(Erfassung5!BD:BD,L7,Erfassung5!BE:BE)</f>
        <v>0</v>
      </c>
      <c r="N7" s="108">
        <f>SUMIF(Erfassung5!BD:BD,L7,Erfassung5!BG:BG)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SUMIF(Erfassung5!BD:BD,L8,Erfassung5!BE:BE)</f>
        <v>0</v>
      </c>
      <c r="N8" s="108">
        <f>SUMIF(Erfassung5!BD:BD,L8,Erfassung5!BG:BG)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SUMIF(Erfassung5!BD:BD,L9,Erfassung5!BE:BE)</f>
        <v>0</v>
      </c>
      <c r="N9" s="108">
        <f>SUMIF(Erfassung5!BD:BD,L9,Erfassung5!BG:BG)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SUMIF(Erfassung5!BD:BD,L10,Erfassung5!BE:BE)</f>
        <v>0</v>
      </c>
      <c r="N10" s="108">
        <f>SUMIF(Erfassung5!BD:BD,L10,Erfassung5!BG:BG)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SUMIF(Erfassung5!BD:BD,L11,Erfassung5!BE:BE)</f>
        <v>0</v>
      </c>
      <c r="N11" s="108">
        <f>SUMIF(Erfassung5!BD:BD,L11,Erfassung5!BG:BG)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SUMIF(Erfassung5!BD:BD,L12,Erfassung5!BE:BE)</f>
        <v>0</v>
      </c>
      <c r="N12" s="108">
        <f>SUMIF(Erfassung5!BD:BD,L12,Erfassung5!BG:BG)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0</v>
      </c>
      <c r="N13" s="108">
        <f>SUMIF(Erfassung5!BD:BD,L13,Erfassung5!BG:BG)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0</v>
      </c>
      <c r="N14" s="108">
        <f>SUMIF(Erfassung5!BD:BD,L14,Erfassung5!BG:BG)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0</v>
      </c>
      <c r="N16" s="108">
        <f>SUMIF(Erfassung5!BD:BD,L16,Erfassung5!BG:BG)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SUMIF(Erfassung5!BD:BD,L19,Erfassung5!BE:BE)</f>
        <v>0</v>
      </c>
      <c r="N19" s="108">
        <f>SUMIF(Erfassung5!BD:BD,L19,Erfassung5!BG:BG)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981</v>
      </c>
      <c r="N2">
        <f>INDEX(SchnittGes4!N:N,MATCH(L2,SchnittGes4!L:L,0))+INDEX(Schnitt5!N:N,MATCH(L2,Schnitt5!L:L,0))</f>
        <v>6</v>
      </c>
      <c r="O2">
        <f t="shared" ref="O2:O33" si="0">IF(N2=0,0,M2/N2-ROW()/1000000000)</f>
        <v>163.49999999799999</v>
      </c>
      <c r="P2">
        <f t="shared" ref="P2:P33" si="1">RANK(O2,O:O)</f>
        <v>5</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829</v>
      </c>
      <c r="N4">
        <f>INDEX(SchnittGes4!N:N,MATCH(L4,SchnittGes4!L:L,0))+INDEX(Schnitt5!N:N,MATCH(L4,Schnitt5!L:L,0))</f>
        <v>6</v>
      </c>
      <c r="O4">
        <f t="shared" si="0"/>
        <v>138.16666666266667</v>
      </c>
      <c r="P4">
        <f t="shared" si="1"/>
        <v>14</v>
      </c>
    </row>
    <row r="5" spans="1:16" x14ac:dyDescent="0.25">
      <c r="A5">
        <v>1</v>
      </c>
      <c r="B5">
        <f t="shared" ref="B5:B36" si="2">IFERROR(INDEX(L:L,MATCH(A5,P:P,0)),"")</f>
        <v>7709</v>
      </c>
      <c r="C5" t="str">
        <f>IFERROR(INDEX(Starter!B:B,MATCH(B5,Starter!A:A,0)),"")</f>
        <v>Schuster, Else</v>
      </c>
      <c r="D5" t="str">
        <f>IFERROR(INDEX(Starter!C:C,MATCH(B5,Starter!A:A,0)),"")</f>
        <v>BC Phönix 03 Lauf</v>
      </c>
      <c r="E5" s="92">
        <f t="shared" ref="E5:E36" si="3">IFERROR(INDEX(M:M,MATCH(A5,P:P,0)),"")</f>
        <v>577</v>
      </c>
      <c r="F5">
        <f t="shared" ref="F5:F36" si="4">IFERROR(INDEX(N:N,MATCH(A5,P:P,0)),"")</f>
        <v>3</v>
      </c>
      <c r="G5" s="168">
        <f t="shared" ref="G5:G36" si="5">IFERROR(INDEX(O:O,MATCH(A5,P:P,0)),"")</f>
        <v>192.33333332033334</v>
      </c>
      <c r="L5" s="108">
        <f>INDEX(Starter!A:A,ROW()-1)</f>
        <v>25478</v>
      </c>
      <c r="M5">
        <f>INDEX(SchnittGes4!M:M,MATCH(L5,SchnittGes4!L:L,0))+INDEX(Schnitt5!M:M,MATCH(L5,Schnitt5!L:L,0))</f>
        <v>968</v>
      </c>
      <c r="N5">
        <f>INDEX(SchnittGes4!N:N,MATCH(L5,SchnittGes4!L:L,0))+INDEX(Schnitt5!N:N,MATCH(L5,Schnitt5!L:L,0))</f>
        <v>6</v>
      </c>
      <c r="O5">
        <f t="shared" si="0"/>
        <v>161.33333332833334</v>
      </c>
      <c r="P5">
        <f t="shared" si="1"/>
        <v>6</v>
      </c>
    </row>
    <row r="6" spans="1:16" x14ac:dyDescent="0.25">
      <c r="A6">
        <f t="shared" ref="A6:A37"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INDEX(SchnittGes4!M:M,MATCH(L6,SchnittGes4!L:L,0))+INDEX(Schnitt5!M:M,MATCH(L6,Schnitt5!L:L,0))</f>
        <v>1121</v>
      </c>
      <c r="N6">
        <f>INDEX(SchnittGes4!N:N,MATCH(L6,SchnittGes4!L:L,0))+INDEX(Schnitt5!N:N,MATCH(L6,Schnitt5!L:L,0))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INDEX(SchnittGes4!M:M,MATCH(L7,SchnittGes4!L:L,0))+INDEX(Schnitt5!M:M,MATCH(L7,Schnitt5!L:L,0))</f>
        <v>1271</v>
      </c>
      <c r="N7">
        <f>INDEX(SchnittGes4!N:N,MATCH(L7,SchnittGes4!L:L,0))+INDEX(Schnitt5!N:N,MATCH(L7,Schnitt5!L:L,0))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INDEX(SchnittGes4!M:M,MATCH(L8,SchnittGes4!L:L,0))+INDEX(Schnitt5!M:M,MATCH(L8,Schnitt5!L:L,0))</f>
        <v>1765</v>
      </c>
      <c r="N8">
        <f>INDEX(SchnittGes4!N:N,MATCH(L8,SchnittGes4!L:L,0))+INDEX(Schnitt5!N:N,MATCH(L8,Schnitt5!L:L,0))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INDEX(SchnittGes4!M:M,MATCH(L9,SchnittGes4!L:L,0))+INDEX(Schnitt5!M:M,MATCH(L9,Schnitt5!L:L,0))</f>
        <v>1968</v>
      </c>
      <c r="N9">
        <f>INDEX(SchnittGes4!N:N,MATCH(L9,SchnittGes4!L:L,0))+INDEX(Schnitt5!N:N,MATCH(L9,Schnitt5!L:L,0))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1886</v>
      </c>
      <c r="N11">
        <f>INDEX(SchnittGes4!N:N,MATCH(L11,SchnittGes4!L:L,0))+INDEX(Schnitt5!N:N,MATCH(L11,Schnitt5!L:L,0))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INDEX(SchnittGes4!M:M,MATCH(L13,SchnittGes4!L:L,0))+INDEX(Schnitt5!M:M,MATCH(L13,Schnitt5!L:L,0))</f>
        <v>577</v>
      </c>
      <c r="N13">
        <f>INDEX(SchnittGes4!N:N,MATCH(L13,SchnittGes4!L:L,0))+INDEX(Schnitt5!N:N,MATCH(L13,Schnitt5!L:L,0))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INDEX(SchnittGes4!M:M,MATCH(L14,SchnittGes4!L:L,0))+INDEX(Schnitt5!M:M,MATCH(L14,Schnitt5!L:L,0))</f>
        <v>1042</v>
      </c>
      <c r="N14">
        <f>INDEX(SchnittGes4!N:N,MATCH(L14,SchnittGes4!L:L,0))+INDEX(Schnitt5!N:N,MATCH(L14,Schnitt5!L:L,0))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INDEX(SchnittGes4!M:M,MATCH(L16,SchnittGes4!L:L,0))+INDEX(Schnitt5!M:M,MATCH(L16,Schnitt5!L:L,0))</f>
        <v>960</v>
      </c>
      <c r="N16">
        <f>INDEX(SchnittGes4!N:N,MATCH(L16,SchnittGes4!L:L,0))+INDEX(Schnitt5!N:N,MATCH(L16,Schnitt5!L:L,0))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INDEX(SchnittGes4!M:M,MATCH(L19,SchnittGes4!L:L,0))+INDEX(Schnitt5!M:M,MATCH(L19,Schnitt5!L:L,0))</f>
        <v>222</v>
      </c>
      <c r="N19">
        <f>INDEX(SchnittGes4!N:N,MATCH(L19,SchnittGes4!L:L,0))+INDEX(Schnitt5!N:N,MATCH(L19,Schnitt5!L:L,0))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5">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5">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5">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5">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5">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+Spielzettel6!M2</f>
        <v>6</v>
      </c>
      <c r="F6" s="325"/>
      <c r="P6" s="128" t="s">
        <v>1821</v>
      </c>
      <c r="Q6" s="326" t="str">
        <f>+Spielzettel6!L1</f>
        <v>18.05.</v>
      </c>
      <c r="R6" s="327">
        <v>0</v>
      </c>
      <c r="S6" s="327">
        <v>0</v>
      </c>
      <c r="T6" s="328">
        <v>0</v>
      </c>
      <c r="U6" s="61"/>
    </row>
    <row r="7" spans="2:21" x14ac:dyDescent="0.25">
      <c r="B7" s="60"/>
      <c r="C7" s="128"/>
      <c r="D7" s="128"/>
      <c r="U7" s="61"/>
    </row>
    <row r="8" spans="2:21" x14ac:dyDescent="0.25">
      <c r="B8" s="60"/>
      <c r="C8" s="128" t="s">
        <v>1822</v>
      </c>
      <c r="D8" s="128"/>
      <c r="E8" s="329" t="str">
        <f>+Spielzettel6!D2</f>
        <v>Nürnberg West Bowling</v>
      </c>
      <c r="F8" s="330"/>
      <c r="G8" s="330"/>
      <c r="H8" s="330">
        <v>0</v>
      </c>
      <c r="I8" s="330"/>
      <c r="J8" s="331"/>
      <c r="N8" s="128" t="s">
        <v>1823</v>
      </c>
      <c r="P8" s="329" t="str">
        <f>+Spielzettel6!D1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11:T11"/>
    <mergeCell ref="C12:J12"/>
    <mergeCell ref="C19:T19"/>
    <mergeCell ref="C24:T24"/>
    <mergeCell ref="C29:T29"/>
    <mergeCell ref="F35:G35"/>
    <mergeCell ref="C37:T37"/>
    <mergeCell ref="F41:H41"/>
    <mergeCell ref="C45:T45"/>
    <mergeCell ref="C48:T48"/>
    <mergeCell ref="C52:T52"/>
    <mergeCell ref="C56:T56"/>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9" sqref="A9: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3" t="str">
        <f>Schlüssel!$DI$1</f>
        <v>18.05.</v>
      </c>
      <c r="M1" s="353"/>
      <c r="N1" s="353"/>
      <c r="O1" s="353"/>
      <c r="P1" s="353"/>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VLOOKUP($B2,Schlüssel!$A$5:$DZ$10,113)</f>
        <v>22</v>
      </c>
      <c r="F4" s="47" t="s">
        <v>10</v>
      </c>
      <c r="G4" s="7">
        <f>VLOOKUP($B2,Schlüssel!$A$5:$DZ$10,114)</f>
        <v>21</v>
      </c>
      <c r="H4" s="47" t="s">
        <v>10</v>
      </c>
      <c r="I4" s="7">
        <f>VLOOKUP($B2,Schlüssel!$A$5:$DZ$10,115)</f>
        <v>22</v>
      </c>
      <c r="J4" s="47" t="s">
        <v>10</v>
      </c>
      <c r="K4" s="7">
        <f>VLOOKUP($B2,Schlüssel!$A$5:$DZ$10,116)</f>
        <v>21</v>
      </c>
      <c r="L4" s="47" t="s">
        <v>10</v>
      </c>
      <c r="M4" s="7">
        <f>VLOOKUP($B2,Schlüssel!$A$5:$DZ$10,117)</f>
        <v>22</v>
      </c>
      <c r="N4" s="43" t="s">
        <v>10</v>
      </c>
      <c r="O4" s="66">
        <f>VLOOKUP($B2,Schlüssel!$A$5:$DZ$10,118)</f>
        <v>21</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VLOOKUP(B2,Schlüssel!$A$5:$DF$10,83)</f>
        <v>0</v>
      </c>
      <c r="E22" s="363"/>
      <c r="F22" s="363">
        <f>VLOOKUP(B2,Schlüssel!$A$5:$DF$10,84)</f>
        <v>0</v>
      </c>
      <c r="G22" s="363"/>
      <c r="H22" s="363">
        <f>VLOOKUP(B2,Schlüssel!$A$5:$DF$10,85)</f>
        <v>0</v>
      </c>
      <c r="I22" s="363"/>
      <c r="J22" s="363">
        <f>VLOOKUP(B2,Schlüssel!$A$5:$DF$10,86)</f>
        <v>0</v>
      </c>
      <c r="K22" s="363"/>
      <c r="L22" s="363">
        <f>VLOOKUP(B2,Schlüssel!$A$5:$DF$10,87)</f>
        <v>0</v>
      </c>
      <c r="M22" s="363"/>
      <c r="N22" s="363">
        <f>VLOOKUP(B2,Schlüssel!$A$5:$DF$10,88)</f>
        <v>0</v>
      </c>
      <c r="O22" s="363"/>
      <c r="P22" s="364"/>
      <c r="Q22" s="364"/>
    </row>
    <row r="23" spans="1:31" ht="28.5" customHeight="1" x14ac:dyDescent="0.25">
      <c r="B23" s="4"/>
      <c r="C23" s="1"/>
      <c r="D23" s="360" t="e">
        <f>VLOOKUP(D22,Schlüssel!$A$5:$K$10,2)</f>
        <v>#N/A</v>
      </c>
      <c r="E23" s="361"/>
      <c r="F23" s="360" t="e">
        <f>VLOOKUP(F22,Schlüssel!$A$5:$K$10,2)</f>
        <v>#N/A</v>
      </c>
      <c r="G23" s="361"/>
      <c r="H23" s="360" t="e">
        <f>VLOOKUP(H22,Schlüssel!$A$5:$K$10,2)</f>
        <v>#N/A</v>
      </c>
      <c r="I23" s="361"/>
      <c r="J23" s="360" t="e">
        <f>VLOOKUP(J22,Schlüssel!$A$5:$K$10,2)</f>
        <v>#N/A</v>
      </c>
      <c r="K23" s="361"/>
      <c r="L23" s="360" t="e">
        <f>VLOOKUP(L22,Schlüssel!$A$5:$K$10,2)</f>
        <v>#N/A</v>
      </c>
      <c r="M23" s="361"/>
      <c r="N23" s="360" t="e">
        <f>VLOOKUP(N22,Schlüssel!$A$5:$K$10,2)</f>
        <v>#N/A</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Schlüssel!$DI$1</f>
        <v>18.05.</v>
      </c>
      <c r="M30" s="353"/>
      <c r="N30" s="353"/>
      <c r="O30" s="353"/>
      <c r="P30" s="353"/>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VLOOKUP($B31,Schlüssel!$A$5:$DZ$10,113)</f>
        <v>0</v>
      </c>
      <c r="F33" s="47" t="s">
        <v>10</v>
      </c>
      <c r="G33" s="7">
        <f>VLOOKUP($B31,Schlüssel!$A$5:$DZ$10,114)</f>
        <v>0</v>
      </c>
      <c r="H33" s="47" t="s">
        <v>10</v>
      </c>
      <c r="I33" s="7">
        <f>VLOOKUP($B31,Schlüssel!$A$5:$DZ$10,115)</f>
        <v>0</v>
      </c>
      <c r="J33" s="47" t="s">
        <v>10</v>
      </c>
      <c r="K33" s="7">
        <f>VLOOKUP($B31,Schlüssel!$A$5:$DZ$10,116)</f>
        <v>0</v>
      </c>
      <c r="L33" s="47" t="s">
        <v>10</v>
      </c>
      <c r="M33" s="7">
        <f>VLOOKUP($B31,Schlüssel!$A$5:$DZ$10,117)</f>
        <v>0</v>
      </c>
      <c r="N33" s="43" t="s">
        <v>10</v>
      </c>
      <c r="O33" s="66">
        <f>VLOOKUP($B31,Schlüssel!$A$5:$DZ$10,118)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VLOOKUP(B31,Schlüssel!$A$5:$DF$10,83)</f>
        <v>3</v>
      </c>
      <c r="E51" s="363"/>
      <c r="F51" s="363">
        <f>VLOOKUP(B31,Schlüssel!$A$5:$DF$10,84)</f>
        <v>3</v>
      </c>
      <c r="G51" s="363"/>
      <c r="H51" s="363">
        <f>VLOOKUP(B31,Schlüssel!$A$5:$DF$10,85)</f>
        <v>3</v>
      </c>
      <c r="I51" s="363"/>
      <c r="J51" s="363">
        <f>VLOOKUP(B31,Schlüssel!$A$5:$DF$10,86)</f>
        <v>3</v>
      </c>
      <c r="K51" s="363"/>
      <c r="L51" s="363">
        <f>VLOOKUP(B31,Schlüssel!$A$5:$DF$10,87)</f>
        <v>3</v>
      </c>
      <c r="M51" s="363"/>
      <c r="N51" s="363">
        <f>VLOOKUP(B31,Schlüssel!$A$5:$DF$10,88)</f>
        <v>3</v>
      </c>
      <c r="O51" s="363"/>
      <c r="P51" s="364"/>
      <c r="Q51" s="364"/>
    </row>
    <row r="52" spans="1:31" ht="28.5" customHeight="1" x14ac:dyDescent="0.25">
      <c r="B52" s="4"/>
      <c r="C52" s="1"/>
      <c r="D52" s="360" t="str">
        <f>VLOOKUP(D51,Schlüssel!$A$5:$K$10,2)</f>
        <v>Mainauenbowler Bayreuth Land</v>
      </c>
      <c r="E52" s="361"/>
      <c r="F52" s="360" t="str">
        <f>VLOOKUP(F51,Schlüssel!$A$5:$K$10,2)</f>
        <v>Mainauenbowler Bayreuth Land</v>
      </c>
      <c r="G52" s="361"/>
      <c r="H52" s="360" t="str">
        <f>VLOOKUP(H51,Schlüssel!$A$5:$K$10,2)</f>
        <v>Mainauenbowler Bayreuth Land</v>
      </c>
      <c r="I52" s="361"/>
      <c r="J52" s="360" t="str">
        <f>VLOOKUP(J51,Schlüssel!$A$5:$K$10,2)</f>
        <v>Mainauenbowler Bayreuth Land</v>
      </c>
      <c r="K52" s="361"/>
      <c r="L52" s="360" t="str">
        <f>VLOOKUP(L51,Schlüssel!$A$5:$K$10,2)</f>
        <v>Mainauenbowler Bayreuth Land</v>
      </c>
      <c r="M52" s="361"/>
      <c r="N52" s="360" t="str">
        <f>VLOOKUP(N51,Schlüssel!$A$5:$K$10,2)</f>
        <v>Mainauenbowler Bayreuth Land</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Schlüssel!$DI$1</f>
        <v>18.05.</v>
      </c>
      <c r="M59" s="353"/>
      <c r="N59" s="353"/>
      <c r="O59" s="353"/>
      <c r="P59" s="353"/>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22</v>
      </c>
      <c r="H62" s="47" t="s">
        <v>10</v>
      </c>
      <c r="I62" s="7">
        <f>VLOOKUP($B60,Schlüssel!$A$5:$DZ$10,115)</f>
        <v>21</v>
      </c>
      <c r="J62" s="47" t="s">
        <v>10</v>
      </c>
      <c r="K62" s="7">
        <f>VLOOKUP($B60,Schlüssel!$A$5:$DZ$10,116)</f>
        <v>22</v>
      </c>
      <c r="L62" s="47" t="s">
        <v>10</v>
      </c>
      <c r="M62" s="7">
        <f>VLOOKUP($B60,Schlüssel!$A$5:$DZ$10,117)</f>
        <v>21</v>
      </c>
      <c r="N62" s="43" t="s">
        <v>10</v>
      </c>
      <c r="O62" s="66">
        <f>VLOOKUP($B60,Schlüssel!$A$5:$DZ$10,118)</f>
        <v>22</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VLOOKUP(B60,Schlüssel!$A$5:$DF$10,83)</f>
        <v>2</v>
      </c>
      <c r="E80" s="363"/>
      <c r="F80" s="363">
        <f>VLOOKUP(B60,Schlüssel!$A$5:$DF$10,84)</f>
        <v>2</v>
      </c>
      <c r="G80" s="363"/>
      <c r="H80" s="363">
        <f>VLOOKUP(B60,Schlüssel!$A$5:$DF$10,85)</f>
        <v>2</v>
      </c>
      <c r="I80" s="363"/>
      <c r="J80" s="363">
        <f>VLOOKUP(B60,Schlüssel!$A$5:$DF$10,86)</f>
        <v>2</v>
      </c>
      <c r="K80" s="363"/>
      <c r="L80" s="363">
        <f>VLOOKUP(B60,Schlüssel!$A$5:$DF$10,87)</f>
        <v>2</v>
      </c>
      <c r="M80" s="363"/>
      <c r="N80" s="363">
        <f>VLOOKUP(B60,Schlüssel!$A$5:$DF$10,88)</f>
        <v>2</v>
      </c>
      <c r="O80" s="363"/>
      <c r="P80" s="364"/>
      <c r="Q80" s="364"/>
    </row>
    <row r="81" spans="2:17" ht="28.5" customHeight="1" x14ac:dyDescent="0.25">
      <c r="B81" s="4"/>
      <c r="C81" s="1"/>
      <c r="D81" s="360" t="str">
        <f>VLOOKUP(D80,Schlüssel!$A$5:$K$10,2)</f>
        <v>BC Phönix Lauf</v>
      </c>
      <c r="E81" s="361"/>
      <c r="F81" s="360" t="str">
        <f>VLOOKUP(F80,Schlüssel!$A$5:$K$10,2)</f>
        <v>BC Phönix Lauf</v>
      </c>
      <c r="G81" s="361"/>
      <c r="H81" s="360" t="str">
        <f>VLOOKUP(H80,Schlüssel!$A$5:$K$10,2)</f>
        <v>BC Phönix Lauf</v>
      </c>
      <c r="I81" s="361"/>
      <c r="J81" s="360" t="str">
        <f>VLOOKUP(J80,Schlüssel!$A$5:$K$10,2)</f>
        <v>BC Phönix Lauf</v>
      </c>
      <c r="K81" s="361"/>
      <c r="L81" s="360" t="str">
        <f>VLOOKUP(L80,Schlüssel!$A$5:$K$10,2)</f>
        <v>BC Phönix Lauf</v>
      </c>
      <c r="M81" s="361"/>
      <c r="N81" s="360" t="str">
        <f>VLOOKUP(N80,Schlüssel!$A$5:$K$10,2)</f>
        <v>BC Phönix Lauf</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mergeCells count="288">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D25:E25"/>
    <mergeCell ref="F25:G25"/>
    <mergeCell ref="H25:I25"/>
    <mergeCell ref="J25:K25"/>
    <mergeCell ref="L25:M25"/>
    <mergeCell ref="N25:O25"/>
    <mergeCell ref="P25:Q25"/>
    <mergeCell ref="D24:E24"/>
    <mergeCell ref="F24:G24"/>
    <mergeCell ref="H24:I24"/>
    <mergeCell ref="J24:K24"/>
    <mergeCell ref="L24:M24"/>
    <mergeCell ref="N24:O24"/>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9:E29"/>
    <mergeCell ref="F29:G29"/>
    <mergeCell ref="H29:I29"/>
    <mergeCell ref="J29:K29"/>
    <mergeCell ref="L29:M29"/>
    <mergeCell ref="N29:O29"/>
    <mergeCell ref="P29:Q29"/>
    <mergeCell ref="D28:E28"/>
    <mergeCell ref="F28:G28"/>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D54:E54"/>
    <mergeCell ref="F54:G54"/>
    <mergeCell ref="H54:I54"/>
    <mergeCell ref="J54:K54"/>
    <mergeCell ref="L54:M54"/>
    <mergeCell ref="N54:O54"/>
    <mergeCell ref="P54:Q54"/>
    <mergeCell ref="D53:E53"/>
    <mergeCell ref="F53:G53"/>
    <mergeCell ref="H53:I53"/>
    <mergeCell ref="J53:K53"/>
    <mergeCell ref="L53:M53"/>
    <mergeCell ref="N53:O53"/>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8:E58"/>
    <mergeCell ref="F58:G58"/>
    <mergeCell ref="H58:I58"/>
    <mergeCell ref="J58:K58"/>
    <mergeCell ref="L58:M58"/>
    <mergeCell ref="N58:O58"/>
    <mergeCell ref="P58:Q58"/>
    <mergeCell ref="D57:E57"/>
    <mergeCell ref="F57:G57"/>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D83:E83"/>
    <mergeCell ref="F83:G83"/>
    <mergeCell ref="H83:I83"/>
    <mergeCell ref="J83:K83"/>
    <mergeCell ref="L83:M83"/>
    <mergeCell ref="N83:O83"/>
    <mergeCell ref="P83:Q83"/>
    <mergeCell ref="D82:E82"/>
    <mergeCell ref="F82:G82"/>
    <mergeCell ref="H82:I82"/>
    <mergeCell ref="J82:K82"/>
    <mergeCell ref="L82:M82"/>
    <mergeCell ref="N82:O82"/>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7:E87"/>
    <mergeCell ref="F87:G87"/>
    <mergeCell ref="H87:I87"/>
    <mergeCell ref="J87:K87"/>
    <mergeCell ref="L87:M87"/>
    <mergeCell ref="N87:O87"/>
    <mergeCell ref="P87:Q87"/>
    <mergeCell ref="D86:E86"/>
    <mergeCell ref="F86:G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view="pageBreakPreview" topLeftCell="R1" zoomScaleNormal="100" zoomScaleSheetLayoutView="100" workbookViewId="0">
      <selection activeCell="A9" sqref="A9: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c r="N1" s="366" t="str">
        <f>AD1</f>
        <v>18.05.</v>
      </c>
      <c r="O1" s="366"/>
      <c r="P1" s="368"/>
      <c r="Q1" s="368"/>
      <c r="R1" s="368"/>
      <c r="S1" s="7" t="s">
        <v>1798</v>
      </c>
      <c r="T1" s="25"/>
      <c r="U1" s="30" t="s">
        <v>1782</v>
      </c>
      <c r="V1" s="76" t="str">
        <f>Schlüssel!$C$1</f>
        <v>Landesliga Nord Frauen</v>
      </c>
      <c r="X1" s="25"/>
      <c r="Y1" s="25"/>
      <c r="Z1" s="25"/>
      <c r="AA1" s="25"/>
      <c r="AC1" s="29"/>
      <c r="AD1" s="353" t="str">
        <f>Schlüssel!$DI$1</f>
        <v>18.05.</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22</v>
      </c>
      <c r="W4" s="192" t="s">
        <v>10</v>
      </c>
      <c r="X4" s="190">
        <f>VLOOKUP($B2,Schlüssel!$A$5:$DZ$10,114)</f>
        <v>21</v>
      </c>
      <c r="Y4" s="192" t="s">
        <v>10</v>
      </c>
      <c r="Z4" s="190">
        <f>VLOOKUP($B2,Schlüssel!$A$5:$DZ$10,115)</f>
        <v>22</v>
      </c>
      <c r="AA4" s="192" t="s">
        <v>10</v>
      </c>
      <c r="AB4" s="190">
        <f>VLOOKUP($B2,Schlüssel!$A$5:$DZ$10,116)</f>
        <v>21</v>
      </c>
      <c r="AC4" s="192" t="s">
        <v>10</v>
      </c>
      <c r="AD4" s="191">
        <f>VLOOKUP($B2,Schlüssel!$A$5:$DZ$10,117)</f>
        <v>22</v>
      </c>
      <c r="AE4" s="192" t="s">
        <v>10</v>
      </c>
      <c r="AF4" s="191">
        <f>VLOOKUP($B2,Schlüssel!$A$5:$DZ$10,118)</f>
        <v>21</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t="str">
        <f>IF(U7=0,"",U7)</f>
        <v/>
      </c>
      <c r="E7" s="350">
        <f>IF(V7="","",V7)</f>
        <v>0</v>
      </c>
      <c r="F7" s="14" t="str">
        <f t="shared" ref="F7:F20" si="0">IF(W7=0,"",W7)</f>
        <v/>
      </c>
      <c r="G7" s="350">
        <f>IF(X7="","",X7)</f>
        <v>0</v>
      </c>
      <c r="H7" s="14" t="str">
        <f t="shared" ref="H7:H20" si="1">IF(Y7=0,"",Y7)</f>
        <v/>
      </c>
      <c r="I7" s="350">
        <f>IF(Z7="","",Z7)</f>
        <v>0</v>
      </c>
      <c r="J7" s="14" t="str">
        <f t="shared" ref="J7:J20" si="2">IF(AA7=0,"",AA7)</f>
        <v/>
      </c>
      <c r="K7" s="350">
        <f>IF(AB7="","",AB7)</f>
        <v>0</v>
      </c>
      <c r="L7" s="14" t="str">
        <f t="shared" ref="L7:L20" si="3">IF(AC7=0,"",AC7)</f>
        <v/>
      </c>
      <c r="M7" s="350">
        <f>IF(AD7="","",AD7)</f>
        <v>0</v>
      </c>
      <c r="N7" s="14" t="str">
        <f t="shared" ref="N7:N20" si="4">IF(AG7=0,"",AG7)</f>
        <v/>
      </c>
      <c r="O7" s="350">
        <f>IF(AH7="","",AH7)</f>
        <v>0</v>
      </c>
      <c r="R7" s="357"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f>IF(V10="","",V10)</f>
        <v>0</v>
      </c>
      <c r="F10" s="14" t="str">
        <f t="shared" si="0"/>
        <v/>
      </c>
      <c r="G10" s="350">
        <f>IF(X10="","",X10)</f>
        <v>0</v>
      </c>
      <c r="H10" s="14" t="str">
        <f t="shared" si="1"/>
        <v/>
      </c>
      <c r="I10" s="350">
        <f>IF(Z10="","",Z10)</f>
        <v>0</v>
      </c>
      <c r="J10" s="14" t="str">
        <f t="shared" si="2"/>
        <v/>
      </c>
      <c r="K10" s="350">
        <f>IF(AB10="","",AB10)</f>
        <v>0</v>
      </c>
      <c r="L10" s="14" t="str">
        <f t="shared" si="3"/>
        <v/>
      </c>
      <c r="M10" s="350">
        <f>IF(AD10="","",AD10)</f>
        <v>0</v>
      </c>
      <c r="N10" s="14" t="str">
        <f t="shared" si="4"/>
        <v/>
      </c>
      <c r="O10" s="350">
        <f>IF(AH10="","",AH10)</f>
        <v>0</v>
      </c>
      <c r="R10" s="357"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f>IF(V13="","",V13)</f>
        <v>0</v>
      </c>
      <c r="F13" s="14" t="str">
        <f t="shared" si="0"/>
        <v/>
      </c>
      <c r="G13" s="350">
        <f>IF(X13="","",X13)</f>
        <v>0</v>
      </c>
      <c r="H13" s="14" t="str">
        <f t="shared" si="1"/>
        <v/>
      </c>
      <c r="I13" s="350">
        <f>IF(Z13="","",Z13)</f>
        <v>0</v>
      </c>
      <c r="J13" s="14" t="str">
        <f t="shared" si="2"/>
        <v/>
      </c>
      <c r="K13" s="350">
        <f>IF(AB13="","",AB13)</f>
        <v>0</v>
      </c>
      <c r="L13" s="14" t="str">
        <f t="shared" si="3"/>
        <v/>
      </c>
      <c r="M13" s="350">
        <f>IF(AD13="","",AD13)</f>
        <v>0</v>
      </c>
      <c r="N13" s="14" t="str">
        <f t="shared" si="4"/>
        <v/>
      </c>
      <c r="O13" s="350">
        <f>IF(AH13="","",AH13)</f>
        <v>0</v>
      </c>
      <c r="R13" s="357"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f>IF(V16="","",V16)</f>
        <v>0</v>
      </c>
      <c r="F16" s="14" t="str">
        <f t="shared" si="0"/>
        <v/>
      </c>
      <c r="G16" s="350">
        <f>IF(X16="","",X16)</f>
        <v>0</v>
      </c>
      <c r="H16" s="14" t="str">
        <f t="shared" si="1"/>
        <v/>
      </c>
      <c r="I16" s="350">
        <f>IF(Z16="","",Z16)</f>
        <v>0</v>
      </c>
      <c r="J16" s="14" t="str">
        <f t="shared" si="2"/>
        <v/>
      </c>
      <c r="K16" s="350">
        <f>IF(AB16="","",AB16)</f>
        <v>0</v>
      </c>
      <c r="L16" s="14" t="str">
        <f t="shared" si="3"/>
        <v/>
      </c>
      <c r="M16" s="350">
        <f>IF(AD16="","",AD16)</f>
        <v>0</v>
      </c>
      <c r="N16" s="14" t="str">
        <f t="shared" si="4"/>
        <v/>
      </c>
      <c r="O16" s="350">
        <f>IF(AH16="","",AH16)</f>
        <v>0</v>
      </c>
      <c r="R16" s="357"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si="24"/>
        <v>3</v>
      </c>
      <c r="M22" s="363" t="str">
        <f t="shared" si="24"/>
        <v/>
      </c>
      <c r="N22" s="364"/>
      <c r="O22" s="364"/>
      <c r="S22" s="13" t="s">
        <v>1786</v>
      </c>
      <c r="T22" s="5" t="s">
        <v>1787</v>
      </c>
      <c r="U22" s="369">
        <f>VLOOKUP($S2,Schlüssel!$A$5:$DR$10,103)</f>
        <v>3</v>
      </c>
      <c r="V22" s="370"/>
      <c r="W22" s="369">
        <f>VLOOKUP($S2,Schlüssel!$A$5:$DR$10,104)</f>
        <v>3</v>
      </c>
      <c r="X22" s="370"/>
      <c r="Y22" s="369">
        <f>VLOOKUP($S2,Schlüssel!$A$5:$DR$10,105)</f>
        <v>3</v>
      </c>
      <c r="Z22" s="370"/>
      <c r="AA22" s="369">
        <f>VLOOKUP($S2,Schlüssel!$A$5:$DR$10,106)</f>
        <v>3</v>
      </c>
      <c r="AB22" s="370"/>
      <c r="AC22" s="369">
        <f>VLOOKUP($S2,Schlüssel!$A$5:$DR$10,107)</f>
        <v>3</v>
      </c>
      <c r="AD22" s="370"/>
      <c r="AE22" s="369">
        <f>VLOOKUP($S2,Schlüssel!$A$5:$DR$10,108)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str">
        <f t="shared" si="24"/>
        <v>Mainauenbowler Bayreuth Land</v>
      </c>
      <c r="E23" s="361" t="str">
        <f t="shared" si="24"/>
        <v/>
      </c>
      <c r="F23" s="360" t="str">
        <f t="shared" si="24"/>
        <v>Mainauenbowler Bayreuth Land</v>
      </c>
      <c r="G23" s="361" t="str">
        <f t="shared" si="24"/>
        <v/>
      </c>
      <c r="H23" s="360" t="str">
        <f t="shared" si="24"/>
        <v>Mainauenbowler Bayreuth Land</v>
      </c>
      <c r="I23" s="361" t="str">
        <f t="shared" si="24"/>
        <v/>
      </c>
      <c r="J23" s="360" t="str">
        <f t="shared" si="24"/>
        <v>Mainauenbowler Bayreuth Land</v>
      </c>
      <c r="K23" s="361" t="str">
        <f t="shared" si="24"/>
        <v/>
      </c>
      <c r="L23" s="360" t="str">
        <f t="shared" si="24"/>
        <v>Mainauenbowler Bayreuth Land</v>
      </c>
      <c r="M23" s="361" t="str">
        <f t="shared" si="24"/>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4"/>
        <v/>
      </c>
      <c r="M24" s="365" t="str">
        <f t="shared" si="24"/>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5">IF(S25=0,"",S25)</f>
        <v>Spieler 1</v>
      </c>
      <c r="C25" s="379" t="str">
        <f t="shared" si="25"/>
        <v/>
      </c>
      <c r="D25" s="346">
        <f>IF(U25=301,"",U25)</f>
        <v>0</v>
      </c>
      <c r="E25" s="346" t="str">
        <f>IF(V25=0,"",V25)</f>
        <v/>
      </c>
      <c r="F25" s="346">
        <f>IF(W25=301,"",W25)</f>
        <v>0</v>
      </c>
      <c r="G25" s="346" t="str">
        <f>IF(X25=0,"",X25)</f>
        <v/>
      </c>
      <c r="H25" s="346">
        <f>IF(Y25=301,"",Y25)</f>
        <v>0</v>
      </c>
      <c r="I25" s="346" t="str">
        <f>IF(Z25=0,"",Z25)</f>
        <v/>
      </c>
      <c r="J25" s="346">
        <f>IF(AA25=301,"",AA25)</f>
        <v>0</v>
      </c>
      <c r="K25" s="346" t="str">
        <f>IF(AB25=0,"",AB25)</f>
        <v/>
      </c>
      <c r="L25" s="346">
        <f>IF(AC25=301,"",AC25)</f>
        <v>0</v>
      </c>
      <c r="M25" s="346" t="str">
        <f>IF(AD25=0,"",AD25)</f>
        <v/>
      </c>
      <c r="N25" s="354"/>
      <c r="O25" s="354"/>
      <c r="S25" s="35" t="s">
        <v>0</v>
      </c>
      <c r="T25" s="36"/>
      <c r="U25" s="374">
        <f>ABS(INDEX(U:U,MATCH(U22,$S:$S,0)+5)+INDEX(U:U,MATCH(U22,$S:$S,0)+6)+INDEX(U:U,MATCH(U22,$S:$S,0)+7))</f>
        <v>0</v>
      </c>
      <c r="V25" s="375"/>
      <c r="W25" s="374">
        <f>ABS(INDEX(W:W,MATCH(W22,$S:$S,0)+5)+INDEX(W:W,MATCH(W22,$S:$S,0)+6)+INDEX(W:W,MATCH(W22,$S:$S,0)+7))</f>
        <v>0</v>
      </c>
      <c r="X25" s="375"/>
      <c r="Y25" s="374">
        <f>ABS(INDEX(Y:Y,MATCH(Y22,$S:$S,0)+5)+INDEX(Y:Y,MATCH(Y22,$S:$S,0)+6)+INDEX(Y:Y,MATCH(Y22,$S:$S,0)+7))</f>
        <v>0</v>
      </c>
      <c r="Z25" s="375"/>
      <c r="AA25" s="374">
        <f>ABS(INDEX(AA:AA,MATCH(AA22,$S:$S,0)+5)+INDEX(AA:AA,MATCH(AA22,$S:$S,0)+6)+INDEX(AA:AA,MATCH(AA22,$S:$S,0)+7))</f>
        <v>0</v>
      </c>
      <c r="AB25" s="375"/>
      <c r="AC25" s="374">
        <f>ABS(INDEX(AC:AC,MATCH(AC22,$S:$S,0)+5)+INDEX(AC:AC,MATCH(AC22,$S:$S,0)+6)+INDEX(AC:AC,MATCH(AC22,$S:$S,0)+7))</f>
        <v>0</v>
      </c>
      <c r="AD25" s="375"/>
      <c r="AE25" s="374">
        <f>ABS(INDEX(AE:AE,MATCH(AE22,$S:$S,0)+5)+INDEX(AE:AE,MATCH(AE22,$S:$S,0)+6)+INDEX(AE:AE,MATCH(AE22,$S:$S,0)+7))</f>
        <v>0</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5"/>
        <v>Spieler 2</v>
      </c>
      <c r="C26" s="379" t="str">
        <f t="shared" si="25"/>
        <v/>
      </c>
      <c r="D26" s="346">
        <f>IF(U26=301,"",U26)</f>
        <v>0</v>
      </c>
      <c r="E26" s="346" t="str">
        <f>IF(V26=0,"",V26)</f>
        <v/>
      </c>
      <c r="F26" s="346">
        <f>IF(W26=301,"",W26)</f>
        <v>0</v>
      </c>
      <c r="G26" s="346" t="str">
        <f>IF(X26=0,"",X26)</f>
        <v/>
      </c>
      <c r="H26" s="346">
        <f>IF(Y26=301,"",Y26)</f>
        <v>0</v>
      </c>
      <c r="I26" s="346" t="str">
        <f>IF(Z26=0,"",Z26)</f>
        <v/>
      </c>
      <c r="J26" s="346">
        <f>IF(AA26=301,"",AA26)</f>
        <v>0</v>
      </c>
      <c r="K26" s="346" t="str">
        <f>IF(AB26=0,"",AB26)</f>
        <v/>
      </c>
      <c r="L26" s="346">
        <f>IF(AC26=301,"",AC26)</f>
        <v>0</v>
      </c>
      <c r="M26" s="346" t="str">
        <f>IF(AD26=0,"",AD26)</f>
        <v/>
      </c>
      <c r="N26" s="354"/>
      <c r="O26" s="354"/>
      <c r="S26" s="35" t="s">
        <v>2</v>
      </c>
      <c r="T26" s="36"/>
      <c r="U26" s="376">
        <f>ABS(INDEX(U:U,MATCH(U22,$S:$S,0)+8)+INDEX(U:U,MATCH(U22,$S:$S,0)+9)+INDEX(U:U,MATCH(U22,$S:$S,0)+10))</f>
        <v>0</v>
      </c>
      <c r="V26" s="377"/>
      <c r="W26" s="376">
        <f>ABS(INDEX(W:W,MATCH(W22,$S:$S,0)+8)+INDEX(W:W,MATCH(W22,$S:$S,0)+9)+INDEX(W:W,MATCH(W22,$S:$S,0)+10))</f>
        <v>0</v>
      </c>
      <c r="X26" s="377"/>
      <c r="Y26" s="376">
        <f>ABS(INDEX(Y:Y,MATCH(Y22,$S:$S,0)+8)+INDEX(Y:Y,MATCH(Y22,$S:$S,0)+9)+INDEX(Y:Y,MATCH(Y22,$S:$S,0)+10))</f>
        <v>0</v>
      </c>
      <c r="Z26" s="377"/>
      <c r="AA26" s="376">
        <f>ABS(INDEX(AA:AA,MATCH(AA22,$S:$S,0)+8)+INDEX(AA:AA,MATCH(AA22,$S:$S,0)+9)+INDEX(AA:AA,MATCH(AA22,$S:$S,0)+10))</f>
        <v>0</v>
      </c>
      <c r="AB26" s="377"/>
      <c r="AC26" s="376">
        <f>ABS(INDEX(AC:AC,MATCH(AC22,$S:$S,0)+8)+INDEX(AC:AC,MATCH(AC22,$S:$S,0)+9)+INDEX(AC:AC,MATCH(AC22,$S:$S,0)+10))</f>
        <v>0</v>
      </c>
      <c r="AD26" s="377"/>
      <c r="AE26" s="376">
        <f>ABS(INDEX(AE:AE,MATCH(AE22,$S:$S,0)+8)+INDEX(AE:AE,MATCH(AE22,$S:$S,0)+9)+INDEX(AE:AE,MATCH(AE22,$S:$S,0)+10))</f>
        <v>0</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5"/>
        <v>Spieler 3</v>
      </c>
      <c r="C27" s="379" t="str">
        <f t="shared" si="25"/>
        <v/>
      </c>
      <c r="D27" s="346">
        <f>IF(U27=301,"",U27)</f>
        <v>0</v>
      </c>
      <c r="E27" s="346" t="str">
        <f>IF(V27=0,"",V27)</f>
        <v/>
      </c>
      <c r="F27" s="346">
        <f>IF(W27=301,"",W27)</f>
        <v>0</v>
      </c>
      <c r="G27" s="346" t="str">
        <f>IF(X27=0,"",X27)</f>
        <v/>
      </c>
      <c r="H27" s="346">
        <f>IF(Y27=301,"",Y27)</f>
        <v>0</v>
      </c>
      <c r="I27" s="346" t="str">
        <f>IF(Z27=0,"",Z27)</f>
        <v/>
      </c>
      <c r="J27" s="346">
        <f>IF(AA27=301,"",AA27)</f>
        <v>0</v>
      </c>
      <c r="K27" s="346" t="str">
        <f>IF(AB27=0,"",AB27)</f>
        <v/>
      </c>
      <c r="L27" s="346">
        <f>IF(AC27=301,"",AC27)</f>
        <v>0</v>
      </c>
      <c r="M27" s="346" t="str">
        <f>IF(AD27=0,"",AD27)</f>
        <v/>
      </c>
      <c r="N27" s="354"/>
      <c r="O27" s="354"/>
      <c r="S27" s="35" t="s">
        <v>3</v>
      </c>
      <c r="T27" s="36"/>
      <c r="U27" s="376">
        <f>ABS(INDEX(U:U,MATCH(U22,$S:$S,0)+11)+INDEX(U:U,MATCH(U22,$S:$S,0)+12)+INDEX(U:U,MATCH(U22,$S:$S,0)+13))</f>
        <v>0</v>
      </c>
      <c r="V27" s="377"/>
      <c r="W27" s="376">
        <f>ABS(INDEX(W:W,MATCH(W22,$S:$S,0)+11)+INDEX(W:W,MATCH(W22,$S:$S,0)+12)+INDEX(W:W,MATCH(W22,$S:$S,0)+13))</f>
        <v>0</v>
      </c>
      <c r="X27" s="377"/>
      <c r="Y27" s="376">
        <f>ABS(INDEX(Y:Y,MATCH(Y22,$S:$S,0)+11)+INDEX(Y:Y,MATCH(Y22,$S:$S,0)+12)+INDEX(Y:Y,MATCH(Y22,$S:$S,0)+13))</f>
        <v>0</v>
      </c>
      <c r="Z27" s="377"/>
      <c r="AA27" s="376">
        <f>ABS(INDEX(AA:AA,MATCH(AA22,$S:$S,0)+11)+INDEX(AA:AA,MATCH(AA22,$S:$S,0)+12)+INDEX(AA:AA,MATCH(AA22,$S:$S,0)+13))</f>
        <v>0</v>
      </c>
      <c r="AB27" s="377"/>
      <c r="AC27" s="376">
        <f>ABS(INDEX(AC:AC,MATCH(AC22,$S:$S,0)+11)+INDEX(AC:AC,MATCH(AC22,$S:$S,0)+12)+INDEX(AC:AC,MATCH(AC22,$S:$S,0)+13))</f>
        <v>0</v>
      </c>
      <c r="AD27" s="377"/>
      <c r="AE27" s="376">
        <f>ABS(INDEX(AE:AE,MATCH(AE22,$S:$S,0)+11)+INDEX(AE:AE,MATCH(AE22,$S:$S,0)+12)+INDEX(AE:AE,MATCH(AE22,$S:$S,0)+13))</f>
        <v>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5"/>
        <v>Spieler 4</v>
      </c>
      <c r="C28" s="379" t="str">
        <f t="shared" si="25"/>
        <v/>
      </c>
      <c r="D28" s="346">
        <f>IF(U28=301,"",U28)</f>
        <v>0</v>
      </c>
      <c r="E28" s="346" t="str">
        <f>IF(V28=0,"",V28)</f>
        <v/>
      </c>
      <c r="F28" s="346">
        <f>IF(W28=301,"",W28)</f>
        <v>0</v>
      </c>
      <c r="G28" s="346" t="str">
        <f>IF(X28=0,"",X28)</f>
        <v/>
      </c>
      <c r="H28" s="346">
        <f>IF(Y28=301,"",Y28)</f>
        <v>0</v>
      </c>
      <c r="I28" s="346" t="str">
        <f>IF(Z28=0,"",Z28)</f>
        <v/>
      </c>
      <c r="J28" s="346">
        <f>IF(AA28=301,"",AA28)</f>
        <v>0</v>
      </c>
      <c r="K28" s="346" t="str">
        <f>IF(AB28=0,"",AB28)</f>
        <v/>
      </c>
      <c r="L28" s="346">
        <f>IF(AC28=301,"",AC28)</f>
        <v>0</v>
      </c>
      <c r="M28" s="346" t="str">
        <f>IF(AD28=0,"",AD28)</f>
        <v/>
      </c>
      <c r="N28" s="354"/>
      <c r="O28" s="354"/>
      <c r="S28" s="35" t="s">
        <v>11</v>
      </c>
      <c r="T28" s="36"/>
      <c r="U28" s="376">
        <f>ABS(INDEX(U:U,MATCH(U22,$S:$S,0)+14)+INDEX(U:U,MATCH(U22,$S:$S,0)+15)+INDEX(U:U,MATCH(U22,$S:$S,0)+16))</f>
        <v>0</v>
      </c>
      <c r="V28" s="377"/>
      <c r="W28" s="376">
        <f>ABS(INDEX(W:W,MATCH(W22,$S:$S,0)+14)+INDEX(W:W,MATCH(W22,$S:$S,0)+15)+INDEX(W:W,MATCH(W22,$S:$S,0)+16))</f>
        <v>0</v>
      </c>
      <c r="X28" s="377"/>
      <c r="Y28" s="376">
        <f>ABS(INDEX(Y:Y,MATCH(Y22,$S:$S,0)+14)+INDEX(Y:Y,MATCH(Y22,$S:$S,0)+15)+INDEX(Y:Y,MATCH(Y22,$S:$S,0)+16))</f>
        <v>0</v>
      </c>
      <c r="Z28" s="377"/>
      <c r="AA28" s="376">
        <f>ABS(INDEX(AA:AA,MATCH(AA22,$S:$S,0)+14)+INDEX(AA:AA,MATCH(AA22,$S:$S,0)+15)+INDEX(AA:AA,MATCH(AA22,$S:$S,0)+16))</f>
        <v>0</v>
      </c>
      <c r="AB28" s="377"/>
      <c r="AC28" s="376">
        <f>ABS(INDEX(AC:AC,MATCH(AC22,$S:$S,0)+14)+INDEX(AC:AC,MATCH(AC22,$S:$S,0)+15)+INDEX(AC:AC,MATCH(AC22,$S:$S,0)+16))</f>
        <v>0</v>
      </c>
      <c r="AD28" s="377"/>
      <c r="AE28" s="376">
        <f>ABS(INDEX(AE:AE,MATCH(AE22,$S:$S,0)+14)+INDEX(AE:AE,MATCH(AE22,$S:$S,0)+15)+INDEX(AE:AE,MATCH(AE22,$S:$S,0)+16))</f>
        <v>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5"/>
        <v>Gesamt</v>
      </c>
      <c r="C29" s="349" t="str">
        <f t="shared" si="25"/>
        <v/>
      </c>
      <c r="D29" s="347">
        <f>IF(U29=1505,"",U29)</f>
        <v>0</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00"/>
      <c r="O29" s="300"/>
      <c r="S29" s="37" t="s">
        <v>1788</v>
      </c>
      <c r="T29" s="38"/>
      <c r="U29" s="348">
        <f>SUM(U25:U28)</f>
        <v>0</v>
      </c>
      <c r="V29" s="349"/>
      <c r="W29" s="348">
        <f>SUM(W25:W28)</f>
        <v>0</v>
      </c>
      <c r="X29" s="349"/>
      <c r="Y29" s="348">
        <f>SUM(Y25:Y28)</f>
        <v>0</v>
      </c>
      <c r="Z29" s="349"/>
      <c r="AA29" s="348">
        <f>SUM(AA25:AA28)</f>
        <v>0</v>
      </c>
      <c r="AB29" s="349"/>
      <c r="AC29" s="348">
        <f>SUM(AC25:AC28)</f>
        <v>0</v>
      </c>
      <c r="AD29" s="349"/>
      <c r="AE29" s="348">
        <f>SUM(AE25:AE28)</f>
        <v>0</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c r="N31" s="366" t="str">
        <f>AD31</f>
        <v>18.05.</v>
      </c>
      <c r="O31" s="366"/>
      <c r="P31" s="368"/>
      <c r="Q31" s="368"/>
      <c r="R31" s="368"/>
      <c r="S31" s="7" t="s">
        <v>1798</v>
      </c>
      <c r="T31" s="25"/>
      <c r="U31" s="30" t="s">
        <v>1782</v>
      </c>
      <c r="V31" s="76" t="str">
        <f>Schlüssel!$C$1</f>
        <v>Landesliga Nord Frauen</v>
      </c>
      <c r="X31" s="25"/>
      <c r="Y31" s="25"/>
      <c r="Z31" s="25"/>
      <c r="AA31" s="25"/>
      <c r="AC31" s="29"/>
      <c r="AD31" s="353" t="str">
        <f>Schlüssel!$DI$1</f>
        <v>18.05.</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0</v>
      </c>
      <c r="W34" s="192" t="s">
        <v>10</v>
      </c>
      <c r="X34" s="190">
        <f>VLOOKUP($B32,Schlüssel!$A$5:$DZ$10,114)</f>
        <v>0</v>
      </c>
      <c r="Y34" s="192" t="s">
        <v>10</v>
      </c>
      <c r="Z34" s="190">
        <f>VLOOKUP($B32,Schlüssel!$A$5:$DZ$10,115)</f>
        <v>0</v>
      </c>
      <c r="AA34" s="192" t="s">
        <v>10</v>
      </c>
      <c r="AB34" s="190">
        <f>VLOOKUP($B32,Schlüssel!$A$5:$DZ$10,116)</f>
        <v>0</v>
      </c>
      <c r="AC34" s="192" t="s">
        <v>10</v>
      </c>
      <c r="AD34" s="191">
        <f>VLOOKUP($B32,Schlüssel!$A$5:$DZ$10,117)</f>
        <v>0</v>
      </c>
      <c r="AE34" s="192" t="s">
        <v>10</v>
      </c>
      <c r="AF34" s="191">
        <f>VLOOKUP($B32,Schlüssel!$A$5:$DZ$10,118)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6">IF(W37=0,"",W37)</f>
        <v/>
      </c>
      <c r="G37" s="350" t="e">
        <f>IF(X37="","",X37)</f>
        <v>#N/A</v>
      </c>
      <c r="H37" s="14" t="str">
        <f t="shared" ref="H37:H50" si="27">IF(Y37=0,"",Y37)</f>
        <v/>
      </c>
      <c r="I37" s="350" t="e">
        <f>IF(Z37="","",Z37)</f>
        <v>#N/A</v>
      </c>
      <c r="J37" s="14" t="str">
        <f t="shared" ref="J37:J50" si="28">IF(AA37=0,"",AA37)</f>
        <v/>
      </c>
      <c r="K37" s="350" t="e">
        <f>IF(AB37="","",AB37)</f>
        <v>#N/A</v>
      </c>
      <c r="L37" s="14" t="str">
        <f t="shared" ref="L37:L50" si="29">IF(AC37=0,"",AC37)</f>
        <v/>
      </c>
      <c r="M37" s="350" t="e">
        <f>IF(AD37="","",AD37)</f>
        <v>#N/A</v>
      </c>
      <c r="N37" s="14" t="str">
        <f t="shared" ref="N37:N50" si="30">IF(AG37=0,"",AG37)</f>
        <v/>
      </c>
      <c r="O37" s="350" t="e">
        <f>IF(AH37="","",AH37)</f>
        <v>#N/A</v>
      </c>
      <c r="R37" s="357"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1">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2"/>
      <c r="B38" s="19" t="str">
        <f t="shared" ref="B38:D50" si="47">IF(S38=0,"",S38)</f>
        <v/>
      </c>
      <c r="C38" s="20" t="str">
        <f t="shared" si="47"/>
        <v/>
      </c>
      <c r="D38" s="15" t="str">
        <f t="shared" si="47"/>
        <v/>
      </c>
      <c r="E38" s="351"/>
      <c r="F38" s="15" t="str">
        <f t="shared" si="26"/>
        <v/>
      </c>
      <c r="G38" s="351"/>
      <c r="H38" s="15" t="str">
        <f t="shared" si="27"/>
        <v/>
      </c>
      <c r="I38" s="351"/>
      <c r="J38" s="15" t="str">
        <f t="shared" si="28"/>
        <v/>
      </c>
      <c r="K38" s="351"/>
      <c r="L38" s="15" t="str">
        <f t="shared" si="29"/>
        <v/>
      </c>
      <c r="M38" s="351"/>
      <c r="N38" s="15" t="str">
        <f t="shared" si="30"/>
        <v/>
      </c>
      <c r="O38" s="351"/>
      <c r="R38" s="358"/>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3"/>
      <c r="B39" s="21" t="str">
        <f t="shared" si="47"/>
        <v/>
      </c>
      <c r="C39" s="22" t="str">
        <f t="shared" si="47"/>
        <v/>
      </c>
      <c r="D39" s="9" t="str">
        <f t="shared" si="47"/>
        <v/>
      </c>
      <c r="E39" s="352"/>
      <c r="F39" s="9" t="str">
        <f t="shared" si="26"/>
        <v/>
      </c>
      <c r="G39" s="352"/>
      <c r="H39" s="9" t="str">
        <f t="shared" si="27"/>
        <v/>
      </c>
      <c r="I39" s="352"/>
      <c r="J39" s="9" t="str">
        <f t="shared" si="28"/>
        <v/>
      </c>
      <c r="K39" s="352"/>
      <c r="L39" s="9" t="str">
        <f t="shared" si="29"/>
        <v/>
      </c>
      <c r="M39" s="352"/>
      <c r="N39" s="9" t="str">
        <f t="shared" si="30"/>
        <v/>
      </c>
      <c r="O39" s="352"/>
      <c r="R39" s="359"/>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1" t="s">
        <v>2</v>
      </c>
      <c r="B40" s="17" t="str">
        <f t="shared" si="47"/>
        <v/>
      </c>
      <c r="C40" s="18" t="str">
        <f t="shared" si="47"/>
        <v/>
      </c>
      <c r="D40" s="14" t="str">
        <f t="shared" si="47"/>
        <v/>
      </c>
      <c r="E40" s="350" t="e">
        <f>IF(V40="","",V40)</f>
        <v>#N/A</v>
      </c>
      <c r="F40" s="14" t="str">
        <f t="shared" si="26"/>
        <v/>
      </c>
      <c r="G40" s="350" t="e">
        <f>IF(X40="","",X40)</f>
        <v>#N/A</v>
      </c>
      <c r="H40" s="14" t="str">
        <f t="shared" si="27"/>
        <v/>
      </c>
      <c r="I40" s="350" t="e">
        <f>IF(Z40="","",Z40)</f>
        <v>#N/A</v>
      </c>
      <c r="J40" s="14" t="str">
        <f t="shared" si="28"/>
        <v/>
      </c>
      <c r="K40" s="350" t="e">
        <f>IF(AB40="","",AB40)</f>
        <v>#N/A</v>
      </c>
      <c r="L40" s="14" t="str">
        <f t="shared" si="29"/>
        <v/>
      </c>
      <c r="M40" s="350" t="e">
        <f>IF(AD40="","",AD40)</f>
        <v>#N/A</v>
      </c>
      <c r="N40" s="14" t="str">
        <f t="shared" si="30"/>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1"/>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2"/>
      <c r="B41" s="19" t="str">
        <f t="shared" si="47"/>
        <v/>
      </c>
      <c r="C41" s="20" t="str">
        <f t="shared" si="47"/>
        <v/>
      </c>
      <c r="D41" s="15" t="str">
        <f t="shared" si="47"/>
        <v/>
      </c>
      <c r="E41" s="351"/>
      <c r="F41" s="15" t="str">
        <f t="shared" si="26"/>
        <v/>
      </c>
      <c r="G41" s="351"/>
      <c r="H41" s="15" t="str">
        <f t="shared" si="27"/>
        <v/>
      </c>
      <c r="I41" s="351"/>
      <c r="J41" s="15" t="str">
        <f t="shared" si="28"/>
        <v/>
      </c>
      <c r="K41" s="351"/>
      <c r="L41" s="15" t="str">
        <f t="shared" si="29"/>
        <v/>
      </c>
      <c r="M41" s="351"/>
      <c r="N41" s="15" t="str">
        <f t="shared" si="30"/>
        <v/>
      </c>
      <c r="O41" s="351"/>
      <c r="R41" s="358"/>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3"/>
      <c r="B42" s="21" t="str">
        <f t="shared" si="47"/>
        <v/>
      </c>
      <c r="C42" s="22" t="str">
        <f t="shared" si="47"/>
        <v/>
      </c>
      <c r="D42" s="9" t="str">
        <f t="shared" si="47"/>
        <v/>
      </c>
      <c r="E42" s="352"/>
      <c r="F42" s="9" t="str">
        <f t="shared" si="26"/>
        <v/>
      </c>
      <c r="G42" s="352"/>
      <c r="H42" s="9" t="str">
        <f t="shared" si="27"/>
        <v/>
      </c>
      <c r="I42" s="352"/>
      <c r="J42" s="9" t="str">
        <f t="shared" si="28"/>
        <v/>
      </c>
      <c r="K42" s="352"/>
      <c r="L42" s="9" t="str">
        <f t="shared" si="29"/>
        <v/>
      </c>
      <c r="M42" s="352"/>
      <c r="N42" s="9" t="str">
        <f t="shared" si="30"/>
        <v/>
      </c>
      <c r="O42" s="352"/>
      <c r="R42" s="359"/>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1" t="s">
        <v>3</v>
      </c>
      <c r="B43" s="17" t="str">
        <f t="shared" si="47"/>
        <v/>
      </c>
      <c r="C43" s="18" t="str">
        <f t="shared" si="47"/>
        <v/>
      </c>
      <c r="D43" s="14" t="str">
        <f t="shared" si="47"/>
        <v/>
      </c>
      <c r="E43" s="350" t="e">
        <f>IF(V43="","",V43)</f>
        <v>#N/A</v>
      </c>
      <c r="F43" s="14" t="str">
        <f t="shared" si="26"/>
        <v/>
      </c>
      <c r="G43" s="350" t="e">
        <f>IF(X43="","",X43)</f>
        <v>#N/A</v>
      </c>
      <c r="H43" s="14" t="str">
        <f t="shared" si="27"/>
        <v/>
      </c>
      <c r="I43" s="350" t="e">
        <f>IF(Z43="","",Z43)</f>
        <v>#N/A</v>
      </c>
      <c r="J43" s="14" t="str">
        <f t="shared" si="28"/>
        <v/>
      </c>
      <c r="K43" s="350" t="e">
        <f>IF(AB43="","",AB43)</f>
        <v>#N/A</v>
      </c>
      <c r="L43" s="14" t="str">
        <f t="shared" si="29"/>
        <v/>
      </c>
      <c r="M43" s="350" t="e">
        <f>IF(AD43="","",AD43)</f>
        <v>#N/A</v>
      </c>
      <c r="N43" s="14" t="str">
        <f t="shared" si="30"/>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1"/>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2"/>
      <c r="B44" s="19" t="str">
        <f t="shared" si="47"/>
        <v/>
      </c>
      <c r="C44" s="20" t="str">
        <f t="shared" si="47"/>
        <v/>
      </c>
      <c r="D44" s="15" t="str">
        <f t="shared" si="47"/>
        <v/>
      </c>
      <c r="E44" s="351"/>
      <c r="F44" s="15" t="str">
        <f t="shared" si="26"/>
        <v/>
      </c>
      <c r="G44" s="351"/>
      <c r="H44" s="15" t="str">
        <f t="shared" si="27"/>
        <v/>
      </c>
      <c r="I44" s="351"/>
      <c r="J44" s="15" t="str">
        <f t="shared" si="28"/>
        <v/>
      </c>
      <c r="K44" s="351"/>
      <c r="L44" s="15" t="str">
        <f t="shared" si="29"/>
        <v/>
      </c>
      <c r="M44" s="351"/>
      <c r="N44" s="15" t="str">
        <f t="shared" si="30"/>
        <v/>
      </c>
      <c r="O44" s="351"/>
      <c r="R44" s="358"/>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3"/>
      <c r="B45" s="21" t="str">
        <f t="shared" si="47"/>
        <v/>
      </c>
      <c r="C45" s="22" t="str">
        <f t="shared" si="47"/>
        <v/>
      </c>
      <c r="D45" s="9" t="str">
        <f t="shared" si="47"/>
        <v/>
      </c>
      <c r="E45" s="352"/>
      <c r="F45" s="9" t="str">
        <f t="shared" si="26"/>
        <v/>
      </c>
      <c r="G45" s="352"/>
      <c r="H45" s="9" t="str">
        <f t="shared" si="27"/>
        <v/>
      </c>
      <c r="I45" s="352"/>
      <c r="J45" s="9" t="str">
        <f t="shared" si="28"/>
        <v/>
      </c>
      <c r="K45" s="352"/>
      <c r="L45" s="9" t="str">
        <f t="shared" si="29"/>
        <v/>
      </c>
      <c r="M45" s="352"/>
      <c r="N45" s="9" t="str">
        <f t="shared" si="30"/>
        <v/>
      </c>
      <c r="O45" s="352"/>
      <c r="R45" s="359"/>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1" t="s">
        <v>11</v>
      </c>
      <c r="B46" s="17" t="str">
        <f>IF(S46=0,"",S46)</f>
        <v/>
      </c>
      <c r="C46" s="18" t="str">
        <f t="shared" si="47"/>
        <v/>
      </c>
      <c r="D46" s="14" t="str">
        <f t="shared" si="47"/>
        <v/>
      </c>
      <c r="E46" s="350" t="e">
        <f>IF(V46="","",V46)</f>
        <v>#N/A</v>
      </c>
      <c r="F46" s="14" t="str">
        <f t="shared" si="26"/>
        <v/>
      </c>
      <c r="G46" s="350" t="e">
        <f>IF(X46="","",X46)</f>
        <v>#N/A</v>
      </c>
      <c r="H46" s="14" t="str">
        <f t="shared" si="27"/>
        <v/>
      </c>
      <c r="I46" s="350" t="e">
        <f>IF(Z46="","",Z46)</f>
        <v>#N/A</v>
      </c>
      <c r="J46" s="14" t="str">
        <f t="shared" si="28"/>
        <v/>
      </c>
      <c r="K46" s="350" t="e">
        <f>IF(AB46="","",AB46)</f>
        <v>#N/A</v>
      </c>
      <c r="L46" s="14" t="str">
        <f t="shared" si="29"/>
        <v/>
      </c>
      <c r="M46" s="350" t="e">
        <f>IF(AD46="","",AD46)</f>
        <v>#N/A</v>
      </c>
      <c r="N46" s="14" t="str">
        <f t="shared" si="30"/>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1"/>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2"/>
      <c r="B47" s="19" t="str">
        <f>IF(S47=0,"",S47)</f>
        <v/>
      </c>
      <c r="C47" s="20" t="str">
        <f t="shared" si="47"/>
        <v/>
      </c>
      <c r="D47" s="15" t="str">
        <f t="shared" si="47"/>
        <v/>
      </c>
      <c r="E47" s="351"/>
      <c r="F47" s="15" t="str">
        <f t="shared" si="26"/>
        <v/>
      </c>
      <c r="G47" s="351"/>
      <c r="H47" s="15" t="str">
        <f t="shared" si="27"/>
        <v/>
      </c>
      <c r="I47" s="351"/>
      <c r="J47" s="15" t="str">
        <f t="shared" si="28"/>
        <v/>
      </c>
      <c r="K47" s="351"/>
      <c r="L47" s="15" t="str">
        <f t="shared" si="29"/>
        <v/>
      </c>
      <c r="M47" s="351"/>
      <c r="N47" s="15" t="str">
        <f t="shared" si="30"/>
        <v/>
      </c>
      <c r="O47" s="351"/>
      <c r="R47" s="358"/>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3"/>
      <c r="B48" s="21" t="str">
        <f>IF(S48=0,"",S48)</f>
        <v/>
      </c>
      <c r="C48" s="22" t="str">
        <f t="shared" si="47"/>
        <v/>
      </c>
      <c r="D48" s="9" t="str">
        <f t="shared" si="47"/>
        <v/>
      </c>
      <c r="E48" s="352"/>
      <c r="F48" s="9" t="str">
        <f t="shared" si="26"/>
        <v/>
      </c>
      <c r="G48" s="352"/>
      <c r="H48" s="9" t="str">
        <f t="shared" si="27"/>
        <v/>
      </c>
      <c r="I48" s="352"/>
      <c r="J48" s="9" t="str">
        <f t="shared" si="28"/>
        <v/>
      </c>
      <c r="K48" s="352"/>
      <c r="L48" s="9" t="str">
        <f t="shared" si="29"/>
        <v/>
      </c>
      <c r="M48" s="352"/>
      <c r="N48" s="9" t="str">
        <f t="shared" si="30"/>
        <v/>
      </c>
      <c r="O48" s="352"/>
      <c r="R48" s="359"/>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t="e">
        <f>IF(V49="","",V49)</f>
        <v>#N/A</v>
      </c>
      <c r="F49" s="16" t="str">
        <f t="shared" si="26"/>
        <v/>
      </c>
      <c r="G49" s="12" t="e">
        <f>IF(X49="","",X49)</f>
        <v>#N/A</v>
      </c>
      <c r="H49" s="16" t="str">
        <f t="shared" si="27"/>
        <v/>
      </c>
      <c r="I49" s="12" t="e">
        <f>IF(Z49="","",Z49)</f>
        <v>#N/A</v>
      </c>
      <c r="J49" s="16" t="str">
        <f t="shared" si="28"/>
        <v/>
      </c>
      <c r="K49" s="12" t="e">
        <f>IF(AB49="","",AB49)</f>
        <v>#N/A</v>
      </c>
      <c r="L49" s="16" t="str">
        <f t="shared" si="29"/>
        <v/>
      </c>
      <c r="M49" s="12" t="e">
        <f>IF(AD49="","",AD49)</f>
        <v>#N/A</v>
      </c>
      <c r="N49" s="16" t="str">
        <f t="shared" si="30"/>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t="e">
        <f>IF(V50="","",V50)</f>
        <v>#N/A</v>
      </c>
      <c r="F50" s="1" t="str">
        <f t="shared" si="26"/>
        <v/>
      </c>
      <c r="G50" s="23" t="e">
        <f>IF(X50="","",X50)</f>
        <v>#N/A</v>
      </c>
      <c r="H50" s="1" t="str">
        <f t="shared" si="27"/>
        <v/>
      </c>
      <c r="I50" s="23" t="e">
        <f>IF(Z50="","",Z50)</f>
        <v>#N/A</v>
      </c>
      <c r="J50" s="1" t="str">
        <f t="shared" si="28"/>
        <v/>
      </c>
      <c r="K50" s="23" t="e">
        <f>IF(AB50="","",AB50)</f>
        <v>#N/A</v>
      </c>
      <c r="L50" s="1" t="str">
        <f t="shared" si="29"/>
        <v/>
      </c>
      <c r="M50" s="23" t="e">
        <f>IF(AD50="","",AD50)</f>
        <v>#N/A</v>
      </c>
      <c r="N50" s="1" t="str">
        <f t="shared" si="30"/>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63" t="str">
        <f t="shared" si="50"/>
        <v/>
      </c>
      <c r="E52" s="363" t="str">
        <f t="shared" si="50"/>
        <v/>
      </c>
      <c r="F52" s="363" t="str">
        <f t="shared" si="50"/>
        <v/>
      </c>
      <c r="G52" s="363" t="str">
        <f t="shared" si="50"/>
        <v/>
      </c>
      <c r="H52" s="363" t="str">
        <f t="shared" si="50"/>
        <v/>
      </c>
      <c r="I52" s="363" t="str">
        <f t="shared" si="50"/>
        <v/>
      </c>
      <c r="J52" s="363" t="str">
        <f t="shared" si="50"/>
        <v/>
      </c>
      <c r="K52" s="363" t="str">
        <f t="shared" si="50"/>
        <v/>
      </c>
      <c r="L52" s="363" t="str">
        <f t="shared" si="50"/>
        <v/>
      </c>
      <c r="M52" s="363" t="str">
        <f t="shared" si="50"/>
        <v/>
      </c>
      <c r="N52" s="364"/>
      <c r="O52" s="364"/>
      <c r="S52" s="13" t="s">
        <v>1786</v>
      </c>
      <c r="T52" s="5" t="s">
        <v>1787</v>
      </c>
      <c r="U52" s="369">
        <f>VLOOKUP($S32,Schlüssel!$A$5:$DR$10,103)</f>
        <v>0</v>
      </c>
      <c r="V52" s="370"/>
      <c r="W52" s="369">
        <f>VLOOKUP($S32,Schlüssel!$A$5:$DR$10,104)</f>
        <v>0</v>
      </c>
      <c r="X52" s="370"/>
      <c r="Y52" s="369">
        <f>VLOOKUP($S32,Schlüssel!$A$5:$DR$10,105)</f>
        <v>0</v>
      </c>
      <c r="Z52" s="370"/>
      <c r="AA52" s="369">
        <f>VLOOKUP($S32,Schlüssel!$A$5:$DR$10,106)</f>
        <v>0</v>
      </c>
      <c r="AB52" s="370"/>
      <c r="AC52" s="369">
        <f>VLOOKUP($S32,Schlüssel!$A$5:$DR$10,107)</f>
        <v>0</v>
      </c>
      <c r="AD52" s="370"/>
      <c r="AE52" s="369">
        <f>VLOOKUP($S32,Schlüssel!$A$5:$DR$10,108)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60" t="e">
        <f t="shared" si="50"/>
        <v>#N/A</v>
      </c>
      <c r="E53" s="361" t="str">
        <f t="shared" si="50"/>
        <v/>
      </c>
      <c r="F53" s="360" t="e">
        <f t="shared" si="50"/>
        <v>#N/A</v>
      </c>
      <c r="G53" s="361" t="str">
        <f t="shared" si="50"/>
        <v/>
      </c>
      <c r="H53" s="360" t="e">
        <f t="shared" si="50"/>
        <v>#N/A</v>
      </c>
      <c r="I53" s="361" t="str">
        <f t="shared" si="50"/>
        <v/>
      </c>
      <c r="J53" s="360" t="e">
        <f t="shared" si="50"/>
        <v>#N/A</v>
      </c>
      <c r="K53" s="361" t="str">
        <f t="shared" si="50"/>
        <v/>
      </c>
      <c r="L53" s="360" t="e">
        <f t="shared" si="50"/>
        <v>#N/A</v>
      </c>
      <c r="M53" s="361" t="str">
        <f t="shared" si="50"/>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65" t="str">
        <f t="shared" si="50"/>
        <v/>
      </c>
      <c r="E54" s="365" t="str">
        <f t="shared" si="50"/>
        <v/>
      </c>
      <c r="F54" s="365" t="str">
        <f t="shared" si="50"/>
        <v/>
      </c>
      <c r="G54" s="365" t="str">
        <f t="shared" si="50"/>
        <v/>
      </c>
      <c r="H54" s="365" t="str">
        <f t="shared" si="50"/>
        <v/>
      </c>
      <c r="I54" s="365" t="str">
        <f t="shared" si="50"/>
        <v/>
      </c>
      <c r="J54" s="365" t="str">
        <f t="shared" si="50"/>
        <v/>
      </c>
      <c r="K54" s="365" t="str">
        <f t="shared" si="50"/>
        <v/>
      </c>
      <c r="L54" s="365" t="str">
        <f t="shared" si="50"/>
        <v/>
      </c>
      <c r="M54" s="365" t="str">
        <f t="shared" si="50"/>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1">IF(S55=0,"",S55)</f>
        <v>Spieler 1</v>
      </c>
      <c r="C55" s="379" t="str">
        <f t="shared" si="51"/>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1"/>
        <v>Spieler 2</v>
      </c>
      <c r="C56" s="379" t="str">
        <f t="shared" si="51"/>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1"/>
        <v>Spieler 3</v>
      </c>
      <c r="C57" s="379" t="str">
        <f t="shared" si="51"/>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1"/>
        <v>Spieler 4</v>
      </c>
      <c r="C58" s="379" t="str">
        <f t="shared" si="51"/>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1"/>
        <v>Gesamt</v>
      </c>
      <c r="C59" s="349" t="str">
        <f t="shared" si="51"/>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c r="N61" s="366" t="str">
        <f>AD61</f>
        <v>18.05.</v>
      </c>
      <c r="O61" s="366"/>
      <c r="P61" s="368"/>
      <c r="Q61" s="368"/>
      <c r="R61" s="368"/>
      <c r="S61" s="7" t="s">
        <v>1798</v>
      </c>
      <c r="T61" s="25"/>
      <c r="U61" s="30" t="s">
        <v>1782</v>
      </c>
      <c r="V61" s="76" t="str">
        <f>Schlüssel!$C$1</f>
        <v>Landesliga Nord Frauen</v>
      </c>
      <c r="X61" s="25"/>
      <c r="Y61" s="25"/>
      <c r="Z61" s="25"/>
      <c r="AA61" s="25"/>
      <c r="AC61" s="29"/>
      <c r="AD61" s="353" t="str">
        <f>Schlüssel!$DI$1</f>
        <v>18.05.</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22</v>
      </c>
      <c r="Y64" s="192" t="s">
        <v>10</v>
      </c>
      <c r="Z64" s="190">
        <f>VLOOKUP($B62,Schlüssel!$A$5:$DZ$10,115)</f>
        <v>21</v>
      </c>
      <c r="AA64" s="192" t="s">
        <v>10</v>
      </c>
      <c r="AB64" s="190">
        <f>VLOOKUP($B62,Schlüssel!$A$5:$DZ$10,116)</f>
        <v>22</v>
      </c>
      <c r="AC64" s="192" t="s">
        <v>10</v>
      </c>
      <c r="AD64" s="191">
        <f>VLOOKUP($B62,Schlüssel!$A$5:$DZ$10,117)</f>
        <v>21</v>
      </c>
      <c r="AE64" s="192" t="s">
        <v>10</v>
      </c>
      <c r="AF64" s="191">
        <f>VLOOKUP($B62,Schlüssel!$A$5:$DZ$10,118)</f>
        <v>22</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f>IF(V67="","",V67)</f>
        <v>0</v>
      </c>
      <c r="F67" s="14" t="str">
        <f t="shared" ref="F67:F80" si="52">IF(W67=0,"",W67)</f>
        <v/>
      </c>
      <c r="G67" s="350">
        <f>IF(X67="","",X67)</f>
        <v>0</v>
      </c>
      <c r="H67" s="14" t="str">
        <f t="shared" ref="H67:H80" si="53">IF(Y67=0,"",Y67)</f>
        <v/>
      </c>
      <c r="I67" s="350">
        <f>IF(Z67="","",Z67)</f>
        <v>0</v>
      </c>
      <c r="J67" s="14" t="str">
        <f t="shared" ref="J67:J80" si="54">IF(AA67=0,"",AA67)</f>
        <v/>
      </c>
      <c r="K67" s="350">
        <f>IF(AB67="","",AB67)</f>
        <v>0</v>
      </c>
      <c r="L67" s="14" t="str">
        <f t="shared" ref="L67:L80" si="55">IF(AC67=0,"",AC67)</f>
        <v/>
      </c>
      <c r="M67" s="350">
        <f>IF(AD67="","",AD67)</f>
        <v>0</v>
      </c>
      <c r="N67" s="14" t="str">
        <f t="shared" ref="N67:N80" si="56">IF(AG67=0,"",AG67)</f>
        <v/>
      </c>
      <c r="O67" s="350">
        <f>IF(AH67="","",AH67)</f>
        <v>0</v>
      </c>
      <c r="R67" s="357"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2"/>
      <c r="B68" s="19" t="str">
        <f t="shared" ref="B68:D80" si="73">IF(S68=0,"",S68)</f>
        <v/>
      </c>
      <c r="C68" s="20" t="str">
        <f t="shared" si="73"/>
        <v/>
      </c>
      <c r="D68" s="15" t="str">
        <f t="shared" si="73"/>
        <v/>
      </c>
      <c r="E68" s="351"/>
      <c r="F68" s="15" t="str">
        <f t="shared" si="52"/>
        <v/>
      </c>
      <c r="G68" s="351"/>
      <c r="H68" s="15" t="str">
        <f t="shared" si="53"/>
        <v/>
      </c>
      <c r="I68" s="351"/>
      <c r="J68" s="15" t="str">
        <f t="shared" si="54"/>
        <v/>
      </c>
      <c r="K68" s="351"/>
      <c r="L68" s="15" t="str">
        <f t="shared" si="55"/>
        <v/>
      </c>
      <c r="M68" s="351"/>
      <c r="N68" s="15" t="str">
        <f t="shared" si="56"/>
        <v/>
      </c>
      <c r="O68" s="351"/>
      <c r="R68" s="358"/>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3"/>
      <c r="B69" s="21" t="str">
        <f t="shared" si="73"/>
        <v/>
      </c>
      <c r="C69" s="22" t="str">
        <f t="shared" si="73"/>
        <v/>
      </c>
      <c r="D69" s="9" t="str">
        <f t="shared" si="73"/>
        <v/>
      </c>
      <c r="E69" s="352"/>
      <c r="F69" s="9" t="str">
        <f t="shared" si="52"/>
        <v/>
      </c>
      <c r="G69" s="352"/>
      <c r="H69" s="9" t="str">
        <f t="shared" si="53"/>
        <v/>
      </c>
      <c r="I69" s="352"/>
      <c r="J69" s="9" t="str">
        <f t="shared" si="54"/>
        <v/>
      </c>
      <c r="K69" s="352"/>
      <c r="L69" s="9" t="str">
        <f t="shared" si="55"/>
        <v/>
      </c>
      <c r="M69" s="352"/>
      <c r="N69" s="9" t="str">
        <f t="shared" si="56"/>
        <v/>
      </c>
      <c r="O69" s="352"/>
      <c r="R69" s="359"/>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1" t="s">
        <v>2</v>
      </c>
      <c r="B70" s="17" t="str">
        <f t="shared" si="73"/>
        <v/>
      </c>
      <c r="C70" s="18" t="str">
        <f t="shared" si="73"/>
        <v/>
      </c>
      <c r="D70" s="14" t="str">
        <f t="shared" si="73"/>
        <v/>
      </c>
      <c r="E70" s="350">
        <f>IF(V70="","",V70)</f>
        <v>0</v>
      </c>
      <c r="F70" s="14" t="str">
        <f t="shared" si="52"/>
        <v/>
      </c>
      <c r="G70" s="350">
        <f>IF(X70="","",X70)</f>
        <v>0</v>
      </c>
      <c r="H70" s="14" t="str">
        <f t="shared" si="53"/>
        <v/>
      </c>
      <c r="I70" s="350">
        <f>IF(Z70="","",Z70)</f>
        <v>0</v>
      </c>
      <c r="J70" s="14" t="str">
        <f t="shared" si="54"/>
        <v/>
      </c>
      <c r="K70" s="350">
        <f>IF(AB70="","",AB70)</f>
        <v>0</v>
      </c>
      <c r="L70" s="14" t="str">
        <f t="shared" si="55"/>
        <v/>
      </c>
      <c r="M70" s="350">
        <f>IF(AD70="","",AD70)</f>
        <v>0</v>
      </c>
      <c r="N70" s="14" t="str">
        <f t="shared" si="56"/>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2"/>
      <c r="B71" s="19" t="str">
        <f t="shared" si="73"/>
        <v/>
      </c>
      <c r="C71" s="20" t="str">
        <f t="shared" si="73"/>
        <v/>
      </c>
      <c r="D71" s="15" t="str">
        <f t="shared" si="73"/>
        <v/>
      </c>
      <c r="E71" s="351"/>
      <c r="F71" s="15" t="str">
        <f t="shared" si="52"/>
        <v/>
      </c>
      <c r="G71" s="351"/>
      <c r="H71" s="15" t="str">
        <f t="shared" si="53"/>
        <v/>
      </c>
      <c r="I71" s="351"/>
      <c r="J71" s="15" t="str">
        <f t="shared" si="54"/>
        <v/>
      </c>
      <c r="K71" s="351"/>
      <c r="L71" s="15" t="str">
        <f t="shared" si="55"/>
        <v/>
      </c>
      <c r="M71" s="351"/>
      <c r="N71" s="15" t="str">
        <f t="shared" si="56"/>
        <v/>
      </c>
      <c r="O71" s="351"/>
      <c r="R71" s="358"/>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3"/>
      <c r="B72" s="21" t="str">
        <f t="shared" si="73"/>
        <v/>
      </c>
      <c r="C72" s="22" t="str">
        <f t="shared" si="73"/>
        <v/>
      </c>
      <c r="D72" s="9" t="str">
        <f t="shared" si="73"/>
        <v/>
      </c>
      <c r="E72" s="352"/>
      <c r="F72" s="9" t="str">
        <f t="shared" si="52"/>
        <v/>
      </c>
      <c r="G72" s="352"/>
      <c r="H72" s="9" t="str">
        <f t="shared" si="53"/>
        <v/>
      </c>
      <c r="I72" s="352"/>
      <c r="J72" s="9" t="str">
        <f t="shared" si="54"/>
        <v/>
      </c>
      <c r="K72" s="352"/>
      <c r="L72" s="9" t="str">
        <f t="shared" si="55"/>
        <v/>
      </c>
      <c r="M72" s="352"/>
      <c r="N72" s="9" t="str">
        <f t="shared" si="56"/>
        <v/>
      </c>
      <c r="O72" s="352"/>
      <c r="R72" s="359"/>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1" t="s">
        <v>3</v>
      </c>
      <c r="B73" s="17" t="str">
        <f t="shared" si="73"/>
        <v/>
      </c>
      <c r="C73" s="18" t="str">
        <f t="shared" si="73"/>
        <v/>
      </c>
      <c r="D73" s="14" t="str">
        <f t="shared" si="73"/>
        <v/>
      </c>
      <c r="E73" s="350">
        <f>IF(V73="","",V73)</f>
        <v>0</v>
      </c>
      <c r="F73" s="14" t="str">
        <f t="shared" si="52"/>
        <v/>
      </c>
      <c r="G73" s="350">
        <f>IF(X73="","",X73)</f>
        <v>0</v>
      </c>
      <c r="H73" s="14" t="str">
        <f t="shared" si="53"/>
        <v/>
      </c>
      <c r="I73" s="350">
        <f>IF(Z73="","",Z73)</f>
        <v>0</v>
      </c>
      <c r="J73" s="14" t="str">
        <f t="shared" si="54"/>
        <v/>
      </c>
      <c r="K73" s="350">
        <f>IF(AB73="","",AB73)</f>
        <v>0</v>
      </c>
      <c r="L73" s="14" t="str">
        <f t="shared" si="55"/>
        <v/>
      </c>
      <c r="M73" s="350">
        <f>IF(AD73="","",AD73)</f>
        <v>0</v>
      </c>
      <c r="N73" s="14" t="str">
        <f t="shared" si="56"/>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2"/>
      <c r="B74" s="19" t="str">
        <f t="shared" si="73"/>
        <v/>
      </c>
      <c r="C74" s="20" t="str">
        <f t="shared" si="73"/>
        <v/>
      </c>
      <c r="D74" s="15" t="str">
        <f t="shared" si="73"/>
        <v/>
      </c>
      <c r="E74" s="351"/>
      <c r="F74" s="15" t="str">
        <f t="shared" si="52"/>
        <v/>
      </c>
      <c r="G74" s="351"/>
      <c r="H74" s="15" t="str">
        <f t="shared" si="53"/>
        <v/>
      </c>
      <c r="I74" s="351"/>
      <c r="J74" s="15" t="str">
        <f t="shared" si="54"/>
        <v/>
      </c>
      <c r="K74" s="351"/>
      <c r="L74" s="15" t="str">
        <f t="shared" si="55"/>
        <v/>
      </c>
      <c r="M74" s="351"/>
      <c r="N74" s="15" t="str">
        <f t="shared" si="56"/>
        <v/>
      </c>
      <c r="O74" s="351"/>
      <c r="R74" s="358"/>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3"/>
      <c r="B75" s="21" t="str">
        <f t="shared" si="73"/>
        <v/>
      </c>
      <c r="C75" s="22" t="str">
        <f t="shared" si="73"/>
        <v/>
      </c>
      <c r="D75" s="9" t="str">
        <f t="shared" si="73"/>
        <v/>
      </c>
      <c r="E75" s="352"/>
      <c r="F75" s="9" t="str">
        <f t="shared" si="52"/>
        <v/>
      </c>
      <c r="G75" s="352"/>
      <c r="H75" s="9" t="str">
        <f t="shared" si="53"/>
        <v/>
      </c>
      <c r="I75" s="352"/>
      <c r="J75" s="9" t="str">
        <f t="shared" si="54"/>
        <v/>
      </c>
      <c r="K75" s="352"/>
      <c r="L75" s="9" t="str">
        <f t="shared" si="55"/>
        <v/>
      </c>
      <c r="M75" s="352"/>
      <c r="N75" s="9" t="str">
        <f t="shared" si="56"/>
        <v/>
      </c>
      <c r="O75" s="352"/>
      <c r="R75" s="359"/>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1" t="s">
        <v>11</v>
      </c>
      <c r="B76" s="17" t="str">
        <f>IF(S76=0,"",S76)</f>
        <v/>
      </c>
      <c r="C76" s="18" t="str">
        <f t="shared" si="73"/>
        <v/>
      </c>
      <c r="D76" s="14" t="str">
        <f t="shared" si="73"/>
        <v/>
      </c>
      <c r="E76" s="350">
        <f>IF(V76="","",V76)</f>
        <v>0</v>
      </c>
      <c r="F76" s="14" t="str">
        <f t="shared" si="52"/>
        <v/>
      </c>
      <c r="G76" s="350">
        <f>IF(X76="","",X76)</f>
        <v>0</v>
      </c>
      <c r="H76" s="14" t="str">
        <f t="shared" si="53"/>
        <v/>
      </c>
      <c r="I76" s="350">
        <f>IF(Z76="","",Z76)</f>
        <v>0</v>
      </c>
      <c r="J76" s="14" t="str">
        <f t="shared" si="54"/>
        <v/>
      </c>
      <c r="K76" s="350">
        <f>IF(AB76="","",AB76)</f>
        <v>0</v>
      </c>
      <c r="L76" s="14" t="str">
        <f t="shared" si="55"/>
        <v/>
      </c>
      <c r="M76" s="350">
        <f>IF(AD76="","",AD76)</f>
        <v>0</v>
      </c>
      <c r="N76" s="14" t="str">
        <f t="shared" si="56"/>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2"/>
      <c r="B77" s="19" t="str">
        <f>IF(S77=0,"",S77)</f>
        <v/>
      </c>
      <c r="C77" s="20" t="str">
        <f t="shared" si="73"/>
        <v/>
      </c>
      <c r="D77" s="15" t="str">
        <f t="shared" si="73"/>
        <v/>
      </c>
      <c r="E77" s="351"/>
      <c r="F77" s="15" t="str">
        <f t="shared" si="52"/>
        <v/>
      </c>
      <c r="G77" s="351"/>
      <c r="H77" s="15" t="str">
        <f t="shared" si="53"/>
        <v/>
      </c>
      <c r="I77" s="351"/>
      <c r="J77" s="15" t="str">
        <f t="shared" si="54"/>
        <v/>
      </c>
      <c r="K77" s="351"/>
      <c r="L77" s="15" t="str">
        <f t="shared" si="55"/>
        <v/>
      </c>
      <c r="M77" s="351"/>
      <c r="N77" s="15" t="str">
        <f t="shared" si="56"/>
        <v/>
      </c>
      <c r="O77" s="351"/>
      <c r="R77" s="358"/>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3"/>
      <c r="B78" s="21" t="str">
        <f>IF(S78=0,"",S78)</f>
        <v/>
      </c>
      <c r="C78" s="22" t="str">
        <f t="shared" si="73"/>
        <v/>
      </c>
      <c r="D78" s="9" t="str">
        <f t="shared" si="73"/>
        <v/>
      </c>
      <c r="E78" s="352"/>
      <c r="F78" s="9" t="str">
        <f t="shared" si="52"/>
        <v/>
      </c>
      <c r="G78" s="352"/>
      <c r="H78" s="9" t="str">
        <f t="shared" si="53"/>
        <v/>
      </c>
      <c r="I78" s="352"/>
      <c r="J78" s="9" t="str">
        <f t="shared" si="54"/>
        <v/>
      </c>
      <c r="K78" s="352"/>
      <c r="L78" s="9" t="str">
        <f t="shared" si="55"/>
        <v/>
      </c>
      <c r="M78" s="352"/>
      <c r="N78" s="9" t="str">
        <f t="shared" si="56"/>
        <v/>
      </c>
      <c r="O78" s="352"/>
      <c r="R78" s="359"/>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63">
        <f t="shared" si="76"/>
        <v>1</v>
      </c>
      <c r="E82" s="363" t="str">
        <f t="shared" si="76"/>
        <v/>
      </c>
      <c r="F82" s="363">
        <f t="shared" si="76"/>
        <v>1</v>
      </c>
      <c r="G82" s="363" t="str">
        <f t="shared" si="76"/>
        <v/>
      </c>
      <c r="H82" s="363">
        <f t="shared" si="76"/>
        <v>1</v>
      </c>
      <c r="I82" s="363" t="str">
        <f t="shared" si="76"/>
        <v/>
      </c>
      <c r="J82" s="363">
        <f t="shared" si="76"/>
        <v>1</v>
      </c>
      <c r="K82" s="363" t="str">
        <f t="shared" si="76"/>
        <v/>
      </c>
      <c r="L82" s="363">
        <f t="shared" si="76"/>
        <v>1</v>
      </c>
      <c r="M82" s="363" t="str">
        <f t="shared" si="76"/>
        <v/>
      </c>
      <c r="N82" s="364"/>
      <c r="O82" s="364"/>
      <c r="S82" s="13" t="s">
        <v>1786</v>
      </c>
      <c r="T82" s="5" t="s">
        <v>1787</v>
      </c>
      <c r="U82" s="369">
        <f>VLOOKUP($S62,Schlüssel!$A$5:$DR$10,103)</f>
        <v>1</v>
      </c>
      <c r="V82" s="370"/>
      <c r="W82" s="369">
        <f>VLOOKUP($S62,Schlüssel!$A$5:$DR$10,104)</f>
        <v>1</v>
      </c>
      <c r="X82" s="370"/>
      <c r="Y82" s="369">
        <f>VLOOKUP($S62,Schlüssel!$A$5:$DR$10,105)</f>
        <v>1</v>
      </c>
      <c r="Z82" s="370"/>
      <c r="AA82" s="369">
        <f>VLOOKUP($S62,Schlüssel!$A$5:$DR$10,106)</f>
        <v>1</v>
      </c>
      <c r="AB82" s="370"/>
      <c r="AC82" s="369">
        <f>VLOOKUP($S62,Schlüssel!$A$5:$DR$10,107)</f>
        <v>1</v>
      </c>
      <c r="AD82" s="370"/>
      <c r="AE82" s="369">
        <f>VLOOKUP($S62,Schlüssel!$A$5:$DR$10,108)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60" t="str">
        <f t="shared" si="76"/>
        <v>Kleeblatt Fürth</v>
      </c>
      <c r="E83" s="361" t="str">
        <f t="shared" si="76"/>
        <v/>
      </c>
      <c r="F83" s="360" t="str">
        <f t="shared" si="76"/>
        <v>Kleeblatt Fürth</v>
      </c>
      <c r="G83" s="361" t="str">
        <f t="shared" si="76"/>
        <v/>
      </c>
      <c r="H83" s="360" t="str">
        <f t="shared" si="76"/>
        <v>Kleeblatt Fürth</v>
      </c>
      <c r="I83" s="361" t="str">
        <f t="shared" si="76"/>
        <v/>
      </c>
      <c r="J83" s="360" t="str">
        <f t="shared" si="76"/>
        <v>Kleeblatt Fürth</v>
      </c>
      <c r="K83" s="361" t="str">
        <f t="shared" si="76"/>
        <v/>
      </c>
      <c r="L83" s="360" t="str">
        <f t="shared" si="76"/>
        <v>Kleeblatt Fürth</v>
      </c>
      <c r="M83" s="361" t="str">
        <f t="shared" si="76"/>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65" t="str">
        <f t="shared" si="76"/>
        <v/>
      </c>
      <c r="E84" s="365" t="str">
        <f t="shared" si="76"/>
        <v/>
      </c>
      <c r="F84" s="365" t="str">
        <f t="shared" si="76"/>
        <v/>
      </c>
      <c r="G84" s="365" t="str">
        <f t="shared" si="76"/>
        <v/>
      </c>
      <c r="H84" s="365" t="str">
        <f t="shared" si="76"/>
        <v/>
      </c>
      <c r="I84" s="365" t="str">
        <f t="shared" si="76"/>
        <v/>
      </c>
      <c r="J84" s="365" t="str">
        <f t="shared" si="76"/>
        <v/>
      </c>
      <c r="K84" s="365" t="str">
        <f t="shared" si="76"/>
        <v/>
      </c>
      <c r="L84" s="365" t="str">
        <f t="shared" si="76"/>
        <v/>
      </c>
      <c r="M84" s="365" t="str">
        <f t="shared" si="76"/>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77">IF(S85=0,"",S85)</f>
        <v>Spieler 1</v>
      </c>
      <c r="C85" s="379" t="str">
        <f t="shared" si="77"/>
        <v/>
      </c>
      <c r="D85" s="346">
        <f>IF(U85=301,"",U85)</f>
        <v>0</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0</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77"/>
        <v>Spieler 2</v>
      </c>
      <c r="C86" s="379" t="str">
        <f t="shared" si="77"/>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77"/>
        <v>Spieler 3</v>
      </c>
      <c r="C87" s="379" t="str">
        <f t="shared" si="77"/>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77"/>
        <v>Spieler 4</v>
      </c>
      <c r="C88" s="379" t="str">
        <f t="shared" si="77"/>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77"/>
        <v>Gesamt</v>
      </c>
      <c r="C89" s="349" t="str">
        <f t="shared" si="77"/>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0</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B29:C29"/>
    <mergeCell ref="D29:E29"/>
    <mergeCell ref="F29:G29"/>
    <mergeCell ref="H29:I29"/>
    <mergeCell ref="J29:K29"/>
    <mergeCell ref="L29:M29"/>
    <mergeCell ref="N29:O29"/>
    <mergeCell ref="U29:V29"/>
    <mergeCell ref="W29:X29"/>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A37:A39"/>
    <mergeCell ref="E37:E39"/>
    <mergeCell ref="G37:G39"/>
    <mergeCell ref="I37:I39"/>
    <mergeCell ref="K37:K39"/>
    <mergeCell ref="M37:M39"/>
    <mergeCell ref="O37:O39"/>
    <mergeCell ref="R37:R39"/>
    <mergeCell ref="U35:V35"/>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B59:C59"/>
    <mergeCell ref="D59:E59"/>
    <mergeCell ref="F59:G59"/>
    <mergeCell ref="H59:I59"/>
    <mergeCell ref="J59:K59"/>
    <mergeCell ref="L59:M59"/>
    <mergeCell ref="N59:O59"/>
    <mergeCell ref="U59:V59"/>
    <mergeCell ref="W59:X59"/>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A67:A69"/>
    <mergeCell ref="E67:E69"/>
    <mergeCell ref="G67:G69"/>
    <mergeCell ref="I67:I69"/>
    <mergeCell ref="K67:K69"/>
    <mergeCell ref="M67:M69"/>
    <mergeCell ref="O67:O69"/>
    <mergeCell ref="R67:R69"/>
    <mergeCell ref="U65:V65"/>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B89:C89"/>
    <mergeCell ref="D89:E89"/>
    <mergeCell ref="F89:G89"/>
    <mergeCell ref="H89:I89"/>
    <mergeCell ref="J89:K89"/>
    <mergeCell ref="L89:M89"/>
    <mergeCell ref="AE89:AF89"/>
    <mergeCell ref="N89:O89"/>
    <mergeCell ref="U89:V89"/>
    <mergeCell ref="W89:X89"/>
    <mergeCell ref="Y89:Z89"/>
    <mergeCell ref="AA89:AB89"/>
    <mergeCell ref="AC89:AD89"/>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+Erfassung5!AD1</f>
        <v>13.04.</v>
      </c>
      <c r="Q1" s="390"/>
      <c r="R1" s="51"/>
      <c r="S1" s="51"/>
      <c r="AA1" s="223" t="s">
        <v>2086</v>
      </c>
    </row>
    <row r="2" spans="1:31" ht="28.5" customHeight="1" x14ac:dyDescent="0.25">
      <c r="A2" s="391" t="str">
        <f>"Saison "&amp;Spielorte!C18&amp;"     -     Spieltag "&amp;Erfassung6!AD2&amp;"     -     "&amp;TEXT(Erfassung6!AD1,"T. MMMM JJJJ")</f>
        <v>Saison 2024/2025     -     Spieltag 5     -     18.05.</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+Erfassung6!V2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f>INDEX(Erfassung6!V:V,MATCH($A7,Erfassung6!$BO:$BO,0))</f>
        <v>0</v>
      </c>
      <c r="E7" s="99">
        <f>INDEX(Erfassung6!W:W,MATCH($A7,Erfassung6!$BO:$BO,0)-1)</f>
        <v>0</v>
      </c>
      <c r="F7" s="100">
        <f>INDEX(Erfassung6!X:X,MATCH($A7,Erfassung6!$BO:$BO,0))</f>
        <v>0</v>
      </c>
      <c r="G7" s="99">
        <f>INDEX(Erfassung6!Y:Y,MATCH($A7,Erfassung6!$BO:$BO,0)-1)</f>
        <v>0</v>
      </c>
      <c r="H7" s="100">
        <f>INDEX(Erfassung6!Z:Z,MATCH($A7,Erfassung6!$BO:$BO,0))</f>
        <v>0</v>
      </c>
      <c r="I7" s="99">
        <f>INDEX(Erfassung6!AA:AA,MATCH($A7,Erfassung6!$BO:$BO,0)-1)</f>
        <v>0</v>
      </c>
      <c r="J7" s="100">
        <f>INDEX(Erfassung6!AB:AB,MATCH($A7,Erfassung6!$BO:$BO,0))</f>
        <v>0</v>
      </c>
      <c r="K7" s="99">
        <f>INDEX(Erfassung6!AC:AC,MATCH($A7,Erfassung6!$BO:$BO,0)-1)</f>
        <v>0</v>
      </c>
      <c r="L7" s="100">
        <f>INDEX(Erfassung6!AD:AD,MATCH($A7,Erfassung6!$BO:$BO,0))</f>
        <v>0</v>
      </c>
      <c r="M7" s="99">
        <f>INDEX(Erfassung6!AE:AE,MATCH($A7,Erfassung6!$BO:$BO,0)-1)</f>
        <v>0</v>
      </c>
      <c r="N7" s="100">
        <f>INDEX(Erfassung6!AF:AF,MATCH($A7,Erfassung6!$BO:$BO,0))</f>
        <v>0</v>
      </c>
      <c r="O7" s="101">
        <f t="shared" ref="O7:P9" si="0">SUM(C7+E7+G7+I7+K7+M7)</f>
        <v>0</v>
      </c>
      <c r="P7" s="102">
        <f t="shared" si="0"/>
        <v>0</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49</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1" t="str">
        <f>IFERROR(ROUND(INDEX(Erfassung6!BT:BT,MATCH(1,Erfassung6!BW:BW,0)),0),"")&amp;"  /  "&amp;ROUND(IFERROR(ROUND(INDEX(Erfassung6!BT:BT,MATCH(1,Erfassung6!BW:BW,0)),0),"")/6,2)</f>
        <v>0  /  0</v>
      </c>
      <c r="O17" s="381"/>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8" t="str">
        <f>Schlüssel!$C$1</f>
        <v>Landesliga Nord Frauen</v>
      </c>
      <c r="B1" s="398"/>
      <c r="C1" s="398"/>
      <c r="D1" s="398"/>
      <c r="E1" s="398"/>
      <c r="F1" s="398"/>
      <c r="G1" s="398"/>
      <c r="H1" s="398"/>
      <c r="I1" s="398"/>
      <c r="J1" s="398"/>
      <c r="K1" s="398"/>
      <c r="L1" s="398"/>
      <c r="M1" s="398"/>
      <c r="N1" s="398"/>
      <c r="O1" s="398"/>
      <c r="P1" s="398"/>
      <c r="Q1" s="398"/>
    </row>
    <row r="2" spans="1:18" ht="28.5" customHeight="1" x14ac:dyDescent="0.25">
      <c r="A2" s="391" t="str">
        <f>"Saison "&amp;Spielorte!C18&amp;"     -     Spieltag "&amp;Erfassung6!AD2&amp;"     -     "&amp;TEXT(Erfassung6!AD1,"T. MMMM JJJJ")</f>
        <v>Saison 2024/2025     -     Spieltag 5     -     18.05.</v>
      </c>
      <c r="B2" s="391"/>
      <c r="C2" s="391"/>
      <c r="D2" s="391"/>
      <c r="E2" s="391"/>
      <c r="F2" s="391"/>
      <c r="G2" s="391"/>
      <c r="H2" s="391"/>
      <c r="I2" s="391"/>
      <c r="J2" s="391"/>
      <c r="K2" s="391"/>
      <c r="L2" s="391"/>
      <c r="M2" s="391"/>
      <c r="N2" s="391"/>
      <c r="O2" s="391"/>
      <c r="P2" s="391"/>
      <c r="Q2" s="391"/>
    </row>
    <row r="3" spans="1:18" ht="28.5" customHeight="1" x14ac:dyDescent="0.25">
      <c r="A3" s="390" t="s">
        <v>1859</v>
      </c>
      <c r="B3" s="390"/>
      <c r="C3" s="390"/>
      <c r="D3" s="390"/>
      <c r="E3" s="390"/>
      <c r="F3" s="390"/>
      <c r="G3" s="390"/>
      <c r="H3" s="390"/>
      <c r="I3" s="390"/>
      <c r="J3" s="390"/>
      <c r="K3" s="390"/>
      <c r="L3" s="390"/>
      <c r="M3" s="390"/>
      <c r="N3" s="390"/>
      <c r="O3" s="390"/>
      <c r="P3" s="390"/>
      <c r="Q3" s="390"/>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92" t="s">
        <v>1800</v>
      </c>
      <c r="B5" s="387" t="s">
        <v>1801</v>
      </c>
      <c r="C5" s="383" t="s">
        <v>1804</v>
      </c>
      <c r="D5" s="384"/>
      <c r="E5" s="383" t="s">
        <v>1805</v>
      </c>
      <c r="F5" s="384"/>
      <c r="G5" s="383" t="s">
        <v>1806</v>
      </c>
      <c r="H5" s="384"/>
      <c r="I5" s="389" t="s">
        <v>1807</v>
      </c>
      <c r="J5" s="384"/>
      <c r="K5" s="389" t="s">
        <v>1808</v>
      </c>
      <c r="L5" s="384"/>
      <c r="M5" s="389" t="s">
        <v>2251</v>
      </c>
      <c r="N5" s="384"/>
      <c r="O5" s="383" t="s">
        <v>1788</v>
      </c>
      <c r="P5" s="384"/>
      <c r="Q5" s="385" t="s">
        <v>1802</v>
      </c>
    </row>
    <row r="6" spans="1:18"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86"/>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981</v>
      </c>
      <c r="N2">
        <f>INDEX(SchnittGes5!N:N,MATCH(L2,SchnittGes5!L:L,0))+INDEX(Schnitt6!N:N,MATCH(L2,Schnitt6!L:L,0))</f>
        <v>6</v>
      </c>
      <c r="O2">
        <f t="shared" ref="O2:O65" si="0">IF(N2=0,0,M2/N2-ROW()/1000000000)</f>
        <v>163.49999999799999</v>
      </c>
      <c r="P2">
        <f t="shared" ref="P2:P65" si="1">RANK(O2,O:O)</f>
        <v>5</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829</v>
      </c>
      <c r="N4">
        <f>INDEX(SchnittGes5!N:N,MATCH(L4,SchnittGes5!L:L,0))+INDEX(Schnitt6!N:N,MATCH(L4,Schnitt6!L:L,0))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INDEX(SchnittGes5!M:M,MATCH(L5,SchnittGes5!L:L,0))+INDEX(Schnitt6!M:M,MATCH(L5,Schnitt6!L:L,0))</f>
        <v>968</v>
      </c>
      <c r="N5">
        <f>INDEX(SchnittGes5!N:N,MATCH(L5,SchnittGes5!L:L,0))+INDEX(Schnitt6!N:N,MATCH(L5,Schnitt6!L:L,0))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INDEX(SchnittGes5!M:M,MATCH(L6,SchnittGes5!L:L,0))+INDEX(Schnitt6!M:M,MATCH(L6,Schnitt6!L:L,0))</f>
        <v>1121</v>
      </c>
      <c r="N6">
        <f>INDEX(SchnittGes5!N:N,MATCH(L6,SchnittGes5!L:L,0))+INDEX(Schnitt6!N:N,MATCH(L6,Schnitt6!L:L,0))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INDEX(SchnittGes5!M:M,MATCH(L7,SchnittGes5!L:L,0))+INDEX(Schnitt6!M:M,MATCH(L7,Schnitt6!L:L,0))</f>
        <v>1271</v>
      </c>
      <c r="N7">
        <f>INDEX(SchnittGes5!N:N,MATCH(L7,SchnittGes5!L:L,0))+INDEX(Schnitt6!N:N,MATCH(L7,Schnitt6!L:L,0))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INDEX(SchnittGes5!M:M,MATCH(L8,SchnittGes5!L:L,0))+INDEX(Schnitt6!M:M,MATCH(L8,Schnitt6!L:L,0))</f>
        <v>1765</v>
      </c>
      <c r="N8">
        <f>INDEX(SchnittGes5!N:N,MATCH(L8,SchnittGes5!L:L,0))+INDEX(Schnitt6!N:N,MATCH(L8,Schnitt6!L:L,0))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INDEX(SchnittGes5!M:M,MATCH(L9,SchnittGes5!L:L,0))+INDEX(Schnitt6!M:M,MATCH(L9,Schnitt6!L:L,0))</f>
        <v>1968</v>
      </c>
      <c r="N9">
        <f>INDEX(SchnittGes5!N:N,MATCH(L9,SchnittGes5!L:L,0))+INDEX(Schnitt6!N:N,MATCH(L9,Schnitt6!L:L,0))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1886</v>
      </c>
      <c r="N11">
        <f>INDEX(SchnittGes5!N:N,MATCH(L11,SchnittGes5!L:L,0))+INDEX(Schnitt6!N:N,MATCH(L11,Schnitt6!L:L,0))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INDEX(SchnittGes5!M:M,MATCH(L13,SchnittGes5!L:L,0))+INDEX(Schnitt6!M:M,MATCH(L13,Schnitt6!L:L,0))</f>
        <v>577</v>
      </c>
      <c r="N13">
        <f>INDEX(SchnittGes5!N:N,MATCH(L13,SchnittGes5!L:L,0))+INDEX(Schnitt6!N:N,MATCH(L13,Schnitt6!L:L,0))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INDEX(SchnittGes5!M:M,MATCH(L14,SchnittGes5!L:L,0))+INDEX(Schnitt6!M:M,MATCH(L14,Schnitt6!L:L,0))</f>
        <v>1042</v>
      </c>
      <c r="N14">
        <f>INDEX(SchnittGes5!N:N,MATCH(L14,SchnittGes5!L:L,0))+INDEX(Schnitt6!N:N,MATCH(L14,Schnitt6!L:L,0))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INDEX(SchnittGes5!M:M,MATCH(L16,SchnittGes5!L:L,0))+INDEX(Schnitt6!M:M,MATCH(L16,Schnitt6!L:L,0))</f>
        <v>960</v>
      </c>
      <c r="N16">
        <f>INDEX(SchnittGes5!N:N,MATCH(L16,SchnittGes5!L:L,0))+INDEX(Schnitt6!N:N,MATCH(L16,Schnitt6!L:L,0))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INDEX(SchnittGes5!M:M,MATCH(L19,SchnittGes5!L:L,0))+INDEX(Schnitt6!M:M,MATCH(L19,Schnitt6!L:L,0))</f>
        <v>222</v>
      </c>
      <c r="N19">
        <f>INDEX(SchnittGes5!N:N,MATCH(L19,SchnittGes5!L:L,0))+INDEX(Schnitt6!N:N,MATCH(L19,Schnitt6!L:L,0))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zoomScale="115" workbookViewId="0">
      <selection activeCell="A5" sqref="A5"/>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B18" s="82" t="e">
        <f>VLOOKUP(A18,member!$A$5:$K$1300,3,FALSE)&amp;", "&amp;VLOOKUP(A18,member!$A$5:$K$1300,4,FALSE)</f>
        <v>#N/A</v>
      </c>
      <c r="C18" s="82" t="e">
        <f>VLOOKUP(A18,member!$A$5:$K$1300,9,FALSE)</f>
        <v>#N/A</v>
      </c>
      <c r="D18" s="82" t="e">
        <f>VLOOKUP(A18,member!$A$5:$K$1300,11,FALSE)</f>
        <v>#N/A</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2424</v>
      </c>
      <c r="B1" s="240"/>
      <c r="C1" s="241"/>
      <c r="D1" s="242"/>
      <c r="E1" s="242"/>
      <c r="F1" s="243"/>
      <c r="G1" s="242"/>
      <c r="H1" s="242"/>
      <c r="I1" s="244"/>
      <c r="J1" s="240"/>
      <c r="K1" s="243"/>
    </row>
    <row r="2" spans="1:17" s="279" customFormat="1" ht="21" customHeight="1" x14ac:dyDescent="0.3">
      <c r="A2" s="245" t="s">
        <v>2425</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5">
      <c r="A7" s="249">
        <v>3175</v>
      </c>
      <c r="B7" s="250" t="s">
        <v>2427</v>
      </c>
      <c r="C7" s="250" t="s">
        <v>2428</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5">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5">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5">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129540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15240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Helene Schick</cp:lastModifiedBy>
  <cp:lastPrinted>2025-01-26T22:11:58Z</cp:lastPrinted>
  <dcterms:created xsi:type="dcterms:W3CDTF">2008-06-12T13:54:35Z</dcterms:created>
  <dcterms:modified xsi:type="dcterms:W3CDTF">2025-03-12T20:01:51Z</dcterms:modified>
</cp:coreProperties>
</file>