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defaultThemeVersion="124226"/>
  <mc:AlternateContent xmlns:mc="http://schemas.openxmlformats.org/markup-compatibility/2006">
    <mc:Choice Requires="x15">
      <x15ac:absPath xmlns:x15ac="http://schemas.microsoft.com/office/spreadsheetml/2010/11/ac" url="C:\Users\Kerstin\Downloads\"/>
    </mc:Choice>
  </mc:AlternateContent>
  <xr:revisionPtr revIDLastSave="0" documentId="13_ncr:1_{A64D7415-25F6-413B-BE3E-043090ACA7DF}" xr6:coauthVersionLast="47" xr6:coauthVersionMax="47" xr10:uidLastSave="{00000000-0000-0000-0000-000000000000}"/>
  <workbookProtection workbookAlgorithmName="SHA-512" workbookHashValue="90RZwL8WUYAsEyPiZMy4JQWEZPh9Ul80bgxIz+o/vjXmu7v/uGiEN5kah8O9eDnZNMucOvYSjzJLhHv/3eVAzw==" workbookSaltValue="xVkiWItAspbIf2H4pQWsHg==" workbookSpinCount="100000" lockStructure="1"/>
  <bookViews>
    <workbookView xWindow="-108" yWindow="-108" windowWidth="23256" windowHeight="12456" tabRatio="658" firstSheet="23" activeTab="44" xr2:uid="{00000000-000D-0000-FFFF-FFFF00000000}"/>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state="hidden" r:id="rId17"/>
    <sheet name="Spielzettel3" sheetId="84" state="hidden" r:id="rId18"/>
    <sheet name="Erfassung3" sheetId="55" state="hidden" r:id="rId19"/>
    <sheet name="Tabelle3" sheetId="63" state="hidden" r:id="rId20"/>
    <sheet name="TabGes3" sheetId="73" state="hidden" r:id="rId21"/>
    <sheet name="Schnitt3" sheetId="96" state="hidden" r:id="rId22"/>
    <sheet name="SchnittGes3" sheetId="101" state="hidden" r:id="rId23"/>
    <sheet name="SRBericht4" sheetId="92" r:id="rId24"/>
    <sheet name="Spielzettel4" sheetId="85" r:id="rId25"/>
    <sheet name="Erfassung4" sheetId="57" r:id="rId26"/>
    <sheet name="Tabelle4" sheetId="70" r:id="rId27"/>
    <sheet name="TabGes4" sheetId="74" r:id="rId28"/>
    <sheet name="Schnitt4" sheetId="97" state="hidden" r:id="rId29"/>
    <sheet name="SchnittGes4" sheetId="102" state="hidden" r:id="rId30"/>
    <sheet name="SRBericht5" sheetId="93" state="hidden" r:id="rId31"/>
    <sheet name="Spielzettel5" sheetId="86" state="hidden" r:id="rId32"/>
    <sheet name="Erfassung5" sheetId="58" state="hidden" r:id="rId33"/>
    <sheet name="Tabelle5" sheetId="68" state="hidden" r:id="rId34"/>
    <sheet name="TabGes5" sheetId="75" state="hidden" r:id="rId35"/>
    <sheet name="Schnitt5" sheetId="98" state="hidden" r:id="rId36"/>
    <sheet name="SchnittGes5" sheetId="103" state="hidden" r:id="rId37"/>
    <sheet name="SRBericht6" sheetId="113" state="hidden" r:id="rId38"/>
    <sheet name="Spielzettel6" sheetId="107" state="hidden" r:id="rId39"/>
    <sheet name="Erfassung6" sheetId="108" state="hidden" r:id="rId40"/>
    <sheet name="Tabelle6" sheetId="109" state="hidden" r:id="rId41"/>
    <sheet name="TabGes6" sheetId="110" state="hidden" r:id="rId42"/>
    <sheet name="Schnitt6" sheetId="111" state="hidden" r:id="rId43"/>
    <sheet name="SchnittGes6" sheetId="112" state="hidden"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 i="16" l="1"/>
  <c r="AR5" i="16"/>
  <c r="AS5" i="16" s="1"/>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8" i="71"/>
  <c r="C18" i="71"/>
  <c r="B18"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C79" i="108"/>
  <c r="L79" i="108" s="1"/>
  <c r="AA79" i="108"/>
  <c r="J79" i="108"/>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I76" i="108"/>
  <c r="BH76" i="108"/>
  <c r="BD76" i="108"/>
  <c r="AG76" i="108"/>
  <c r="N76" i="108" s="1"/>
  <c r="S76" i="108"/>
  <c r="B76" i="108" s="1"/>
  <c r="L76" i="108"/>
  <c r="J76" i="108"/>
  <c r="H76" i="108"/>
  <c r="F76" i="108"/>
  <c r="D76" i="108"/>
  <c r="C76" i="108"/>
  <c r="BM75" i="108"/>
  <c r="BL75" i="108"/>
  <c r="BK75" i="108"/>
  <c r="BJ75" i="108"/>
  <c r="BI75" i="108"/>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s="1"/>
  <c r="U49" i="108"/>
  <c r="C49" i="108"/>
  <c r="B49" i="108"/>
  <c r="BM48" i="108"/>
  <c r="BL48" i="108"/>
  <c r="BK48" i="108"/>
  <c r="BJ48" i="108"/>
  <c r="BI48" i="108"/>
  <c r="BH48" i="108"/>
  <c r="BD48" i="108"/>
  <c r="AG48" i="108"/>
  <c r="N48" i="108" s="1"/>
  <c r="S48" i="108"/>
  <c r="B48" i="108" s="1"/>
  <c r="L48" i="108"/>
  <c r="J48" i="108"/>
  <c r="H48" i="108"/>
  <c r="F48" i="108"/>
  <c r="D48" i="108"/>
  <c r="C48" i="108"/>
  <c r="BM47" i="108"/>
  <c r="BT47" i="108" s="1"/>
  <c r="BL47" i="108"/>
  <c r="BK47" i="108"/>
  <c r="BJ47" i="108"/>
  <c r="BI47" i="108"/>
  <c r="BH47" i="108"/>
  <c r="BD47" i="108"/>
  <c r="AG47" i="108"/>
  <c r="BE47" i="108" s="1"/>
  <c r="S47" i="108"/>
  <c r="B47" i="108" s="1"/>
  <c r="L47" i="108"/>
  <c r="J47" i="108"/>
  <c r="H47" i="108"/>
  <c r="F47" i="108"/>
  <c r="D47" i="108"/>
  <c r="C47" i="108"/>
  <c r="BM46" i="108"/>
  <c r="BL46" i="108"/>
  <c r="BK46" i="108"/>
  <c r="BJ46" i="108"/>
  <c r="BI46" i="108"/>
  <c r="BH46" i="108"/>
  <c r="BD46" i="108"/>
  <c r="AG46" i="108"/>
  <c r="N46" i="108" s="1"/>
  <c r="S46" i="108"/>
  <c r="B46" i="108" s="1"/>
  <c r="L46" i="108"/>
  <c r="J46" i="108"/>
  <c r="H46" i="108"/>
  <c r="F46" i="108"/>
  <c r="D46" i="108"/>
  <c r="C46" i="108"/>
  <c r="BM45" i="108"/>
  <c r="BL45" i="108"/>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K43" i="108"/>
  <c r="BJ43" i="108"/>
  <c r="BI43" i="108"/>
  <c r="BH43" i="108"/>
  <c r="BD43" i="108"/>
  <c r="AG43" i="108"/>
  <c r="N43" i="108" s="1"/>
  <c r="S43" i="108"/>
  <c r="B43" i="108" s="1"/>
  <c r="L43" i="108"/>
  <c r="J43" i="108"/>
  <c r="H43" i="108"/>
  <c r="F43" i="108"/>
  <c r="D43" i="108"/>
  <c r="C43" i="108"/>
  <c r="BM42" i="108"/>
  <c r="BL42" i="108"/>
  <c r="BK42" i="108"/>
  <c r="BJ42" i="108"/>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H40" i="108"/>
  <c r="BD40" i="108"/>
  <c r="AG40" i="108"/>
  <c r="BE40" i="108" s="1"/>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D38" i="108"/>
  <c r="AG38" i="108"/>
  <c r="S38" i="108"/>
  <c r="B38" i="108" s="1"/>
  <c r="L38" i="108"/>
  <c r="J38" i="108"/>
  <c r="H38" i="108"/>
  <c r="F38" i="108"/>
  <c r="D38" i="108"/>
  <c r="C38" i="108"/>
  <c r="BM37" i="108"/>
  <c r="BL37" i="108"/>
  <c r="BK37" i="108"/>
  <c r="BJ37" i="108"/>
  <c r="BI37" i="108"/>
  <c r="BH37" i="108"/>
  <c r="BD37" i="108"/>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T18" i="108" s="1"/>
  <c r="BJ18" i="108"/>
  <c r="BI18" i="108"/>
  <c r="BH18" i="108"/>
  <c r="BD18" i="108"/>
  <c r="AG18" i="108"/>
  <c r="N18" i="108" s="1"/>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G12" i="108" s="1"/>
  <c r="BI12" i="108"/>
  <c r="BH12" i="108"/>
  <c r="BD12" i="108"/>
  <c r="AG12" i="108"/>
  <c r="S12" i="108"/>
  <c r="L12" i="108"/>
  <c r="J12" i="108"/>
  <c r="H12" i="108"/>
  <c r="F12" i="108"/>
  <c r="D12" i="108"/>
  <c r="C12" i="108"/>
  <c r="BM11" i="108"/>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T9" i="108" s="1"/>
  <c r="BJ9" i="108"/>
  <c r="BI9" i="108"/>
  <c r="BH9" i="108"/>
  <c r="BD9" i="108"/>
  <c r="AG9" i="108"/>
  <c r="N9" i="108" s="1"/>
  <c r="S9" i="108"/>
  <c r="B9" i="108" s="1"/>
  <c r="L9" i="108"/>
  <c r="J9" i="108"/>
  <c r="H9" i="108"/>
  <c r="F9" i="108"/>
  <c r="D9" i="108"/>
  <c r="C9" i="108"/>
  <c r="BM8" i="108"/>
  <c r="BL8" i="108"/>
  <c r="BK8" i="108"/>
  <c r="BJ8" i="108"/>
  <c r="BG8" i="108" s="1"/>
  <c r="BI8" i="108"/>
  <c r="BH8" i="108"/>
  <c r="BD8" i="108"/>
  <c r="AG8" i="108"/>
  <c r="N8" i="108" s="1"/>
  <c r="S8" i="108"/>
  <c r="B8" i="108" s="1"/>
  <c r="L8" i="108"/>
  <c r="J8" i="108"/>
  <c r="H8" i="108"/>
  <c r="F8" i="108"/>
  <c r="D8" i="108"/>
  <c r="C8" i="108"/>
  <c r="BM7" i="108"/>
  <c r="BL7" i="108"/>
  <c r="BK7" i="108"/>
  <c r="BJ7" i="108"/>
  <c r="BI7" i="108"/>
  <c r="BP7" i="108" s="1"/>
  <c r="BH7" i="108"/>
  <c r="BD7" i="108"/>
  <c r="AG7" i="108"/>
  <c r="N7" i="108" s="1"/>
  <c r="BE7" i="108"/>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M31" i="107"/>
  <c r="M60" i="107"/>
  <c r="DR4" i="16"/>
  <c r="DI5" i="16" s="1"/>
  <c r="D59" i="107"/>
  <c r="B31" i="107"/>
  <c r="D51" i="107" s="1"/>
  <c r="D52" i="107" s="1"/>
  <c r="N51" i="107"/>
  <c r="N52" i="107" s="1"/>
  <c r="D30" i="107"/>
  <c r="D22" i="107"/>
  <c r="D23" i="107" s="1"/>
  <c r="B3" i="107"/>
  <c r="D1" i="107"/>
  <c r="P8" i="113" s="1"/>
  <c r="W82" i="108"/>
  <c r="CY2" i="16"/>
  <c r="D60" i="107" s="1"/>
  <c r="DI1" i="16"/>
  <c r="AD61" i="108" s="1"/>
  <c r="N61" i="108" s="1"/>
  <c r="DI16" i="16"/>
  <c r="CY9" i="16"/>
  <c r="X34" i="55"/>
  <c r="AH14" i="16"/>
  <c r="AH12" i="16"/>
  <c r="V4" i="16"/>
  <c r="M5" i="16" s="1"/>
  <c r="N13" i="16"/>
  <c r="O13" i="16" s="1"/>
  <c r="O6" i="16" s="1"/>
  <c r="N12" i="16"/>
  <c r="O12" i="16" s="1"/>
  <c r="Y82" i="58"/>
  <c r="F22" i="107"/>
  <c r="F23" i="107" s="1"/>
  <c r="BL6" i="16"/>
  <c r="BL5" i="16"/>
  <c r="AS7" i="16"/>
  <c r="X7" i="16"/>
  <c r="X5" i="16"/>
  <c r="Y5" i="16" s="1"/>
  <c r="H22" i="45" s="1"/>
  <c r="H23" i="45" s="1"/>
  <c r="D6" i="16"/>
  <c r="D5" i="16"/>
  <c r="E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U75" i="58" s="1"/>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D45" i="58"/>
  <c r="BM44" i="58"/>
  <c r="BL44" i="58"/>
  <c r="BK44" i="58"/>
  <c r="BJ44" i="58"/>
  <c r="BI44" i="58"/>
  <c r="BH44" i="58"/>
  <c r="BD44" i="58"/>
  <c r="BM43" i="58"/>
  <c r="BL43" i="58"/>
  <c r="BK43" i="58"/>
  <c r="BJ43" i="58"/>
  <c r="BI43" i="58"/>
  <c r="BH43" i="58"/>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I17" i="58"/>
  <c r="BH17" i="58"/>
  <c r="BD17" i="58"/>
  <c r="BM16" i="58"/>
  <c r="BL16" i="58"/>
  <c r="BK16" i="58"/>
  <c r="BJ16" i="58"/>
  <c r="BI16" i="58"/>
  <c r="BH16" i="58"/>
  <c r="BD16" i="58"/>
  <c r="BM15" i="58"/>
  <c r="BL15" i="58"/>
  <c r="BK15" i="58"/>
  <c r="BJ15" i="58"/>
  <c r="BI15" i="58"/>
  <c r="BH15" i="58"/>
  <c r="BD15" i="58"/>
  <c r="BM14" i="58"/>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H104" i="57"/>
  <c r="BD104" i="57"/>
  <c r="BM103" i="57"/>
  <c r="BL103" i="57"/>
  <c r="BK103" i="57"/>
  <c r="BJ103" i="57"/>
  <c r="BI103" i="57"/>
  <c r="BH103" i="57"/>
  <c r="BD103" i="57"/>
  <c r="BM102" i="57"/>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H75" i="57"/>
  <c r="BD75" i="57"/>
  <c r="BM74" i="57"/>
  <c r="BL74" i="57"/>
  <c r="BK74" i="57"/>
  <c r="BJ74" i="57"/>
  <c r="BI74" i="57"/>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T46" i="57" s="1"/>
  <c r="BH46" i="57"/>
  <c r="BG46" i="57" s="1"/>
  <c r="BD46" i="57"/>
  <c r="BM45" i="57"/>
  <c r="BL45" i="57"/>
  <c r="BK45" i="57"/>
  <c r="BJ45" i="57"/>
  <c r="BI45" i="57"/>
  <c r="BH45" i="57"/>
  <c r="BD45" i="57"/>
  <c r="BM44" i="57"/>
  <c r="BL44" i="57"/>
  <c r="BK44" i="57"/>
  <c r="BJ44" i="57"/>
  <c r="BI44" i="57"/>
  <c r="BH44" i="57"/>
  <c r="BD44" i="57"/>
  <c r="BM43" i="57"/>
  <c r="BL43" i="57"/>
  <c r="BU43" i="57" s="1"/>
  <c r="BK43" i="57"/>
  <c r="BJ43" i="57"/>
  <c r="BI43" i="57"/>
  <c r="BH43" i="57"/>
  <c r="BD43" i="57"/>
  <c r="BM42" i="57"/>
  <c r="BL42" i="57"/>
  <c r="BK42" i="57"/>
  <c r="BJ42" i="57"/>
  <c r="BI42" i="57"/>
  <c r="BH42" i="57"/>
  <c r="BD42" i="57"/>
  <c r="BM41" i="57"/>
  <c r="BL41" i="57"/>
  <c r="BK41" i="57"/>
  <c r="BJ41" i="57"/>
  <c r="BI41" i="57"/>
  <c r="BH41" i="57"/>
  <c r="BD41" i="57"/>
  <c r="BM40" i="57"/>
  <c r="BL40" i="57"/>
  <c r="BK40" i="57"/>
  <c r="BJ40" i="57"/>
  <c r="BI40" i="57"/>
  <c r="BF40" i="57" s="1"/>
  <c r="BH40" i="57"/>
  <c r="BD40" i="57"/>
  <c r="BM39" i="57"/>
  <c r="BL39" i="57"/>
  <c r="BK39" i="57"/>
  <c r="BJ39" i="57"/>
  <c r="BI39" i="57"/>
  <c r="BH39" i="57"/>
  <c r="BD39" i="57"/>
  <c r="BM38" i="57"/>
  <c r="BL38" i="57"/>
  <c r="BK38" i="57"/>
  <c r="BJ38" i="57"/>
  <c r="BI38" i="57"/>
  <c r="BH38" i="57"/>
  <c r="BD38" i="57"/>
  <c r="BM37" i="57"/>
  <c r="BL37" i="57"/>
  <c r="BK37" i="57"/>
  <c r="BJ37" i="57"/>
  <c r="BI37" i="57"/>
  <c r="BH37" i="57"/>
  <c r="BG37" i="57" s="1"/>
  <c r="BD37" i="57"/>
  <c r="BC20" i="57"/>
  <c r="BM18" i="57"/>
  <c r="BL18" i="57"/>
  <c r="BK18" i="57"/>
  <c r="BJ18" i="57"/>
  <c r="BI18" i="57"/>
  <c r="BH18" i="57"/>
  <c r="BD18" i="57"/>
  <c r="BM17" i="57"/>
  <c r="BL17" i="57"/>
  <c r="BK17" i="57"/>
  <c r="BJ17" i="57"/>
  <c r="BI17" i="57"/>
  <c r="BH17" i="57"/>
  <c r="BD17" i="57"/>
  <c r="BM16" i="57"/>
  <c r="BL16" i="57"/>
  <c r="BK16" i="57"/>
  <c r="BJ16" i="57"/>
  <c r="BI16" i="57"/>
  <c r="BT16" i="57" s="1"/>
  <c r="BH16" i="57"/>
  <c r="BD16" i="57"/>
  <c r="BM15" i="57"/>
  <c r="BL15" i="57"/>
  <c r="BK15" i="57"/>
  <c r="BJ15" i="57"/>
  <c r="BI15" i="57"/>
  <c r="BH15" i="57"/>
  <c r="BD15" i="57"/>
  <c r="BM14" i="57"/>
  <c r="BL14" i="57"/>
  <c r="BK14" i="57"/>
  <c r="BJ14" i="57"/>
  <c r="BI14" i="57"/>
  <c r="BH14" i="57"/>
  <c r="BD14" i="57"/>
  <c r="BM13" i="57"/>
  <c r="BF13" i="57" s="1"/>
  <c r="BL13" i="57"/>
  <c r="BK13" i="57"/>
  <c r="BJ13" i="57"/>
  <c r="BI13" i="57"/>
  <c r="BH13" i="57"/>
  <c r="BD13" i="57"/>
  <c r="BM12" i="57"/>
  <c r="BL12" i="57"/>
  <c r="BK12" i="57"/>
  <c r="BJ12" i="57"/>
  <c r="BI12" i="57"/>
  <c r="BH12" i="57"/>
  <c r="BD12" i="57"/>
  <c r="BM11" i="57"/>
  <c r="BL11" i="57"/>
  <c r="BK11" i="57"/>
  <c r="BJ11" i="57"/>
  <c r="BI11" i="57"/>
  <c r="BH11" i="57"/>
  <c r="BD11" i="57"/>
  <c r="BM10" i="57"/>
  <c r="BL10" i="57"/>
  <c r="BK10" i="57"/>
  <c r="BJ10" i="57"/>
  <c r="BF10" i="57" s="1"/>
  <c r="BI10" i="57"/>
  <c r="BH10" i="57"/>
  <c r="BD10" i="57"/>
  <c r="BM9" i="57"/>
  <c r="BL9" i="57"/>
  <c r="BK9" i="57"/>
  <c r="BJ9" i="57"/>
  <c r="BI9" i="57"/>
  <c r="BH9" i="57"/>
  <c r="BD9" i="57"/>
  <c r="BM8" i="57"/>
  <c r="BL8" i="57"/>
  <c r="BK8" i="57"/>
  <c r="BJ8" i="57"/>
  <c r="BI8" i="57"/>
  <c r="BH8" i="57"/>
  <c r="BD8" i="57"/>
  <c r="BM7" i="57"/>
  <c r="BL7" i="57"/>
  <c r="BK7" i="57"/>
  <c r="BJ7" i="57"/>
  <c r="BI7" i="57"/>
  <c r="BH7" i="57"/>
  <c r="BP7" i="57" s="1"/>
  <c r="BD7" i="57"/>
  <c r="BC80" i="55"/>
  <c r="BM78" i="55"/>
  <c r="BL78" i="55"/>
  <c r="BK78" i="55"/>
  <c r="BJ78" i="55"/>
  <c r="BI78" i="55"/>
  <c r="BH78" i="55"/>
  <c r="BD78" i="55"/>
  <c r="BM77" i="55"/>
  <c r="BL77" i="55"/>
  <c r="BK77" i="55"/>
  <c r="BJ77" i="55"/>
  <c r="BI77" i="55"/>
  <c r="BH77" i="55"/>
  <c r="BD77" i="55"/>
  <c r="BM76" i="55"/>
  <c r="BL76" i="55"/>
  <c r="BK76" i="55"/>
  <c r="BJ76" i="55"/>
  <c r="BI76" i="55"/>
  <c r="BH76" i="55"/>
  <c r="BD76" i="55"/>
  <c r="BM75" i="55"/>
  <c r="BL75" i="55"/>
  <c r="BK75" i="55"/>
  <c r="BJ75" i="55"/>
  <c r="BI75" i="55"/>
  <c r="BH75" i="55"/>
  <c r="BP75" i="55" s="1"/>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J70" i="55"/>
  <c r="BI70" i="55"/>
  <c r="BH70" i="55"/>
  <c r="BD70" i="55"/>
  <c r="BM69" i="55"/>
  <c r="BL69" i="55"/>
  <c r="BK69" i="55"/>
  <c r="BJ69" i="55"/>
  <c r="BI69" i="55"/>
  <c r="BH69" i="55"/>
  <c r="BD69" i="55"/>
  <c r="BM68" i="55"/>
  <c r="BL68" i="55"/>
  <c r="BK68" i="55"/>
  <c r="BJ68" i="55"/>
  <c r="BI68" i="55"/>
  <c r="BH68" i="55"/>
  <c r="BD68" i="55"/>
  <c r="BM67" i="55"/>
  <c r="BL67" i="55"/>
  <c r="BK67" i="55"/>
  <c r="BJ67" i="55"/>
  <c r="BI67" i="55"/>
  <c r="BH67" i="55"/>
  <c r="BD67" i="55"/>
  <c r="BC50" i="55"/>
  <c r="BM48" i="55"/>
  <c r="BL48" i="55"/>
  <c r="BK48" i="55"/>
  <c r="BJ48" i="55"/>
  <c r="BI48" i="55"/>
  <c r="BH48" i="55"/>
  <c r="BD48" i="55"/>
  <c r="BM47" i="55"/>
  <c r="BL47" i="55"/>
  <c r="BK47" i="55"/>
  <c r="BJ47" i="55"/>
  <c r="BI47" i="55"/>
  <c r="BH47" i="55"/>
  <c r="BP47" i="55" s="1"/>
  <c r="BD47" i="55"/>
  <c r="BM46" i="55"/>
  <c r="BT46" i="55" s="1"/>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H41" i="55"/>
  <c r="BD41" i="55"/>
  <c r="BM40" i="55"/>
  <c r="BL40" i="55"/>
  <c r="BK40" i="55"/>
  <c r="BJ40" i="55"/>
  <c r="BI40" i="55"/>
  <c r="BH40" i="55"/>
  <c r="BD40" i="55"/>
  <c r="BM39" i="55"/>
  <c r="BL39" i="55"/>
  <c r="BK39" i="55"/>
  <c r="BJ39" i="55"/>
  <c r="BI39" i="55"/>
  <c r="BH39" i="55"/>
  <c r="BD39" i="55"/>
  <c r="BM38" i="55"/>
  <c r="BL38" i="55"/>
  <c r="BK38" i="55"/>
  <c r="BJ38" i="55"/>
  <c r="BI38" i="55"/>
  <c r="BH38" i="55"/>
  <c r="BD38" i="55"/>
  <c r="BM37" i="55"/>
  <c r="BL37" i="55"/>
  <c r="BK37" i="55"/>
  <c r="BJ37" i="55"/>
  <c r="BI37" i="55"/>
  <c r="BH37" i="55"/>
  <c r="BD37" i="55"/>
  <c r="BC20" i="55"/>
  <c r="BM18" i="55"/>
  <c r="BL18" i="55"/>
  <c r="BK18" i="55"/>
  <c r="BJ18" i="55"/>
  <c r="BI18" i="55"/>
  <c r="BH18" i="55"/>
  <c r="BD18" i="55"/>
  <c r="BM17" i="55"/>
  <c r="BL17" i="55"/>
  <c r="BK17" i="55"/>
  <c r="BJ17" i="55"/>
  <c r="BI17" i="55"/>
  <c r="BH17" i="55"/>
  <c r="BD17" i="55"/>
  <c r="BM16" i="55"/>
  <c r="BL16" i="55"/>
  <c r="BK16" i="55"/>
  <c r="BJ16" i="55"/>
  <c r="BI16" i="55"/>
  <c r="BH16" i="55"/>
  <c r="BD16" i="55"/>
  <c r="BM15" i="55"/>
  <c r="BL15" i="55"/>
  <c r="BK15" i="55"/>
  <c r="BJ15" i="55"/>
  <c r="BI15" i="55"/>
  <c r="BH15" i="55"/>
  <c r="BD15" i="55"/>
  <c r="BM14" i="55"/>
  <c r="BL14" i="55"/>
  <c r="BK14" i="55"/>
  <c r="BJ14" i="55"/>
  <c r="BI14" i="55"/>
  <c r="BH14" i="55"/>
  <c r="BD14" i="55"/>
  <c r="BM13" i="55"/>
  <c r="BL13" i="55"/>
  <c r="BK13" i="55"/>
  <c r="BJ13" i="55"/>
  <c r="BI13" i="55"/>
  <c r="BH13" i="55"/>
  <c r="BD13" i="55"/>
  <c r="BM12" i="55"/>
  <c r="BL12" i="55"/>
  <c r="BK12" i="55"/>
  <c r="BJ12" i="55"/>
  <c r="BI12" i="55"/>
  <c r="BH12" i="55"/>
  <c r="BD12" i="55"/>
  <c r="BM11" i="55"/>
  <c r="BL11" i="55"/>
  <c r="BK11" i="55"/>
  <c r="BJ11" i="55"/>
  <c r="BI11" i="55"/>
  <c r="BH11" i="55"/>
  <c r="BD11" i="55"/>
  <c r="BM10" i="55"/>
  <c r="BL10" i="55"/>
  <c r="BK10" i="55"/>
  <c r="BJ10" i="55"/>
  <c r="BI10" i="55"/>
  <c r="BH10" i="55"/>
  <c r="BD10" i="55"/>
  <c r="BM9" i="55"/>
  <c r="BL9" i="55"/>
  <c r="BK9" i="55"/>
  <c r="BJ9" i="55"/>
  <c r="BI9" i="55"/>
  <c r="BH9" i="55"/>
  <c r="BD9" i="55"/>
  <c r="BM8" i="55"/>
  <c r="BL8" i="55"/>
  <c r="BK8" i="55"/>
  <c r="BJ8" i="55"/>
  <c r="BI8" i="55"/>
  <c r="BH8" i="55"/>
  <c r="BD8" i="55"/>
  <c r="BM7" i="55"/>
  <c r="BL7" i="55"/>
  <c r="BK7" i="55"/>
  <c r="BJ7" i="55"/>
  <c r="BI7" i="55"/>
  <c r="BH7" i="55"/>
  <c r="BD7" i="55"/>
  <c r="BC80" i="53"/>
  <c r="BM78" i="53"/>
  <c r="BL78" i="53"/>
  <c r="BK78" i="53"/>
  <c r="BJ78" i="53"/>
  <c r="BI78" i="53"/>
  <c r="BH78" i="53"/>
  <c r="BD78" i="53"/>
  <c r="BM77" i="53"/>
  <c r="BL77" i="53"/>
  <c r="BK77" i="53"/>
  <c r="BJ77" i="53"/>
  <c r="BI77" i="53"/>
  <c r="BH77" i="53"/>
  <c r="BD77" i="53"/>
  <c r="BM76" i="53"/>
  <c r="BL76" i="53"/>
  <c r="BG76" i="53" s="1"/>
  <c r="BK76" i="53"/>
  <c r="BJ76" i="53"/>
  <c r="BI76" i="53"/>
  <c r="BH76" i="53"/>
  <c r="BD76" i="53"/>
  <c r="BM75" i="53"/>
  <c r="BL75" i="53"/>
  <c r="BK75" i="53"/>
  <c r="BJ75" i="53"/>
  <c r="BI75" i="53"/>
  <c r="BH75" i="53"/>
  <c r="BD75" i="53"/>
  <c r="BM74" i="53"/>
  <c r="BL74" i="53"/>
  <c r="BK74" i="53"/>
  <c r="BJ74" i="53"/>
  <c r="BG74" i="53" s="1"/>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U69" i="53" s="1"/>
  <c r="BL69" i="53"/>
  <c r="BK69" i="53"/>
  <c r="BJ69" i="53"/>
  <c r="BI69" i="53"/>
  <c r="BH69" i="53"/>
  <c r="BD69" i="53"/>
  <c r="BM68" i="53"/>
  <c r="BL68" i="53"/>
  <c r="BK68" i="53"/>
  <c r="BJ68" i="53"/>
  <c r="BI68" i="53"/>
  <c r="BH68" i="53"/>
  <c r="BD68" i="53"/>
  <c r="BM67" i="53"/>
  <c r="BL67" i="53"/>
  <c r="BK67" i="53"/>
  <c r="BU67" i="53" s="1"/>
  <c r="BJ67" i="53"/>
  <c r="BI67" i="53"/>
  <c r="BH67" i="53"/>
  <c r="BP67" i="53" s="1"/>
  <c r="BD67" i="53"/>
  <c r="BC50" i="53"/>
  <c r="BM48" i="53"/>
  <c r="BL48" i="53"/>
  <c r="BK48" i="53"/>
  <c r="BJ48" i="53"/>
  <c r="BI48" i="53"/>
  <c r="BH48" i="53"/>
  <c r="BD48" i="53"/>
  <c r="BM47" i="53"/>
  <c r="BL47" i="53"/>
  <c r="BK47" i="53"/>
  <c r="BJ47" i="53"/>
  <c r="BI47" i="53"/>
  <c r="BH47" i="53"/>
  <c r="BD47" i="53"/>
  <c r="BM46" i="53"/>
  <c r="BL46" i="53"/>
  <c r="BK46" i="53"/>
  <c r="BJ46" i="53"/>
  <c r="BI46" i="53"/>
  <c r="BH46" i="53"/>
  <c r="BD46" i="53"/>
  <c r="BM45" i="53"/>
  <c r="BL45" i="53"/>
  <c r="BK45" i="53"/>
  <c r="BJ45" i="53"/>
  <c r="BI45" i="53"/>
  <c r="BH45" i="53"/>
  <c r="BD45" i="53"/>
  <c r="BM44" i="53"/>
  <c r="BL44" i="53"/>
  <c r="BK44" i="53"/>
  <c r="BJ44" i="53"/>
  <c r="BI44" i="53"/>
  <c r="BH44" i="53"/>
  <c r="BD44" i="53"/>
  <c r="BM43" i="53"/>
  <c r="BL43" i="53"/>
  <c r="BK43" i="53"/>
  <c r="BJ43" i="53"/>
  <c r="BI43" i="53"/>
  <c r="BH43" i="53"/>
  <c r="BD43" i="53"/>
  <c r="BM42" i="53"/>
  <c r="BL42" i="53"/>
  <c r="BK42" i="53"/>
  <c r="BJ42" i="53"/>
  <c r="BI42" i="53"/>
  <c r="BH42" i="53"/>
  <c r="BD42" i="53"/>
  <c r="BM41" i="53"/>
  <c r="BL41" i="53"/>
  <c r="BK41" i="53"/>
  <c r="BJ41" i="53"/>
  <c r="BI41" i="53"/>
  <c r="BH41" i="53"/>
  <c r="BD41" i="53"/>
  <c r="BM40" i="53"/>
  <c r="BL40" i="53"/>
  <c r="BK40" i="53"/>
  <c r="BJ40" i="53"/>
  <c r="BI40" i="53"/>
  <c r="BH40" i="53"/>
  <c r="BD40" i="53"/>
  <c r="BM39" i="53"/>
  <c r="BL39" i="53"/>
  <c r="BK39" i="53"/>
  <c r="BJ39" i="53"/>
  <c r="BI39" i="53"/>
  <c r="BH39" i="53"/>
  <c r="BD39" i="53"/>
  <c r="BM38" i="53"/>
  <c r="BL38" i="53"/>
  <c r="BK38" i="53"/>
  <c r="BJ38" i="53"/>
  <c r="BI38" i="53"/>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L15" i="53"/>
  <c r="BK15" i="53"/>
  <c r="BJ15" i="53"/>
  <c r="BI15" i="53"/>
  <c r="BH15" i="53"/>
  <c r="BD15" i="53"/>
  <c r="BM14" i="53"/>
  <c r="BL14" i="53"/>
  <c r="BK14" i="53"/>
  <c r="BJ14" i="53"/>
  <c r="BI14" i="53"/>
  <c r="BH14" i="53"/>
  <c r="BD14" i="53"/>
  <c r="BM13" i="53"/>
  <c r="BL13" i="53"/>
  <c r="BK13" i="53"/>
  <c r="BP13" i="53" s="1"/>
  <c r="BJ13" i="53"/>
  <c r="BI13" i="53"/>
  <c r="BH13" i="53"/>
  <c r="BD13" i="53"/>
  <c r="BM12" i="53"/>
  <c r="BL12" i="53"/>
  <c r="BK12" i="53"/>
  <c r="BJ12" i="53"/>
  <c r="BI12" i="53"/>
  <c r="BH12" i="53"/>
  <c r="BD12" i="53"/>
  <c r="BM11" i="53"/>
  <c r="BL11" i="53"/>
  <c r="BK11" i="53"/>
  <c r="BJ11" i="53"/>
  <c r="BI11" i="53"/>
  <c r="BH11" i="53"/>
  <c r="BD11" i="53"/>
  <c r="BM10" i="53"/>
  <c r="BL10" i="53"/>
  <c r="BK10" i="53"/>
  <c r="BJ10" i="53"/>
  <c r="BI10" i="53"/>
  <c r="BH10" i="53"/>
  <c r="BD10" i="53"/>
  <c r="BM9" i="53"/>
  <c r="BL9" i="53"/>
  <c r="BK9" i="53"/>
  <c r="BJ9" i="53"/>
  <c r="BI9" i="53"/>
  <c r="BH9" i="53"/>
  <c r="BD9" i="53"/>
  <c r="BM8" i="53"/>
  <c r="BL8" i="53"/>
  <c r="BK8" i="53"/>
  <c r="BJ8" i="53"/>
  <c r="BI8" i="53"/>
  <c r="BH8" i="53"/>
  <c r="BD8" i="53"/>
  <c r="BM7" i="53"/>
  <c r="BL7" i="53"/>
  <c r="BK7" i="53"/>
  <c r="BJ7" i="53"/>
  <c r="BI7" i="53"/>
  <c r="BH7" i="53"/>
  <c r="BP7" i="53" s="1"/>
  <c r="BD7" i="53"/>
  <c r="BC80" i="52"/>
  <c r="BM78" i="52"/>
  <c r="BP78" i="52" s="1"/>
  <c r="BL78" i="52"/>
  <c r="BK78" i="52"/>
  <c r="BJ78" i="52"/>
  <c r="BI78" i="52"/>
  <c r="BH78" i="52"/>
  <c r="BD78" i="52"/>
  <c r="BM77" i="52"/>
  <c r="BL77" i="52"/>
  <c r="BK77" i="52"/>
  <c r="BJ77" i="52"/>
  <c r="BI77" i="52"/>
  <c r="BH77" i="52"/>
  <c r="BD77" i="52"/>
  <c r="BM76" i="52"/>
  <c r="BL76" i="52"/>
  <c r="BK76" i="52"/>
  <c r="BU76" i="52" s="1"/>
  <c r="BJ76" i="52"/>
  <c r="BI76" i="52"/>
  <c r="BH76" i="52"/>
  <c r="BD76" i="52"/>
  <c r="BM75" i="52"/>
  <c r="BL75" i="52"/>
  <c r="BK75" i="52"/>
  <c r="BJ75" i="52"/>
  <c r="BI75" i="52"/>
  <c r="BH75" i="52"/>
  <c r="BD75" i="52"/>
  <c r="BM74" i="52"/>
  <c r="BL74" i="52"/>
  <c r="BK74" i="52"/>
  <c r="BJ74" i="52"/>
  <c r="BI74" i="52"/>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H70" i="52"/>
  <c r="BD70" i="52"/>
  <c r="BM69" i="52"/>
  <c r="BL69" i="52"/>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H47" i="52"/>
  <c r="BD47" i="52"/>
  <c r="BM46" i="52"/>
  <c r="BL46" i="52"/>
  <c r="BK46" i="52"/>
  <c r="BJ46" i="52"/>
  <c r="BI46" i="52"/>
  <c r="BH46" i="52"/>
  <c r="BD46" i="52"/>
  <c r="BM45" i="52"/>
  <c r="BL45" i="52"/>
  <c r="BK45" i="52"/>
  <c r="BJ45" i="52"/>
  <c r="BI45" i="52"/>
  <c r="BH45" i="52"/>
  <c r="BD45" i="52"/>
  <c r="BM44" i="52"/>
  <c r="BL44" i="52"/>
  <c r="BK44" i="52"/>
  <c r="BJ44" i="52"/>
  <c r="BI44" i="52"/>
  <c r="BH44" i="52"/>
  <c r="BD44" i="52"/>
  <c r="BM43" i="52"/>
  <c r="BL43" i="52"/>
  <c r="BK43" i="52"/>
  <c r="BJ43" i="52"/>
  <c r="BI43" i="52"/>
  <c r="BH43" i="52"/>
  <c r="BD43" i="52"/>
  <c r="BM42" i="52"/>
  <c r="BL42" i="52"/>
  <c r="BK42" i="52"/>
  <c r="BJ42" i="52"/>
  <c r="BI42" i="52"/>
  <c r="BH42" i="52"/>
  <c r="BD42" i="52"/>
  <c r="BM41" i="52"/>
  <c r="BL41" i="52"/>
  <c r="BK41" i="52"/>
  <c r="BJ41" i="52"/>
  <c r="BI41" i="52"/>
  <c r="BH41" i="52"/>
  <c r="BD41" i="52"/>
  <c r="BM40" i="52"/>
  <c r="BL40" i="52"/>
  <c r="BK40" i="52"/>
  <c r="BJ40" i="52"/>
  <c r="BI40" i="52"/>
  <c r="BH40" i="52"/>
  <c r="BD40" i="52"/>
  <c r="BM39" i="52"/>
  <c r="BL39" i="52"/>
  <c r="BK39" i="52"/>
  <c r="BJ39" i="52"/>
  <c r="BI39" i="52"/>
  <c r="BH39" i="52"/>
  <c r="BD39" i="52"/>
  <c r="BM38" i="52"/>
  <c r="BL38" i="52"/>
  <c r="BK38" i="52"/>
  <c r="BJ38" i="52"/>
  <c r="BI38" i="52"/>
  <c r="BH38" i="52"/>
  <c r="BD38" i="52"/>
  <c r="BM37" i="52"/>
  <c r="BL37" i="52"/>
  <c r="BK37" i="52"/>
  <c r="BJ37" i="52"/>
  <c r="BI37" i="52"/>
  <c r="BH37" i="52"/>
  <c r="BD37" i="52"/>
  <c r="BM18" i="52"/>
  <c r="BL18" i="52"/>
  <c r="BK18" i="52"/>
  <c r="BJ18" i="52"/>
  <c r="BI18" i="52"/>
  <c r="BH18" i="52"/>
  <c r="BM17" i="52"/>
  <c r="BL17" i="52"/>
  <c r="BK17" i="52"/>
  <c r="BJ17" i="52"/>
  <c r="BI17" i="52"/>
  <c r="BH17" i="52"/>
  <c r="BM16" i="52"/>
  <c r="BL16" i="52"/>
  <c r="BK16" i="52"/>
  <c r="BJ16" i="52"/>
  <c r="BI16" i="52"/>
  <c r="BH16" i="52"/>
  <c r="BM15" i="52"/>
  <c r="BL15" i="52"/>
  <c r="BK15" i="52"/>
  <c r="BJ15" i="52"/>
  <c r="BI15" i="52"/>
  <c r="BH15" i="52"/>
  <c r="BM14" i="52"/>
  <c r="BL14" i="52"/>
  <c r="BK14" i="52"/>
  <c r="BJ14" i="52"/>
  <c r="BI14" i="52"/>
  <c r="BH14" i="52"/>
  <c r="BM13" i="52"/>
  <c r="BL13" i="52"/>
  <c r="BK13" i="52"/>
  <c r="BJ13" i="52"/>
  <c r="BI13" i="52"/>
  <c r="BH13" i="52"/>
  <c r="BM12" i="52"/>
  <c r="BL12" i="52"/>
  <c r="BK12" i="52"/>
  <c r="BJ12" i="52"/>
  <c r="BT12" i="52" s="1"/>
  <c r="BI12" i="52"/>
  <c r="BH12" i="52"/>
  <c r="BM11" i="52"/>
  <c r="BL11" i="52"/>
  <c r="BK11" i="52"/>
  <c r="BJ11" i="52"/>
  <c r="BI11" i="52"/>
  <c r="BH11" i="52"/>
  <c r="BM10" i="52"/>
  <c r="BL10" i="52"/>
  <c r="BK10" i="52"/>
  <c r="BJ10" i="52"/>
  <c r="BI10" i="52"/>
  <c r="BH10" i="52"/>
  <c r="BM9" i="52"/>
  <c r="BL9" i="52"/>
  <c r="BK9" i="52"/>
  <c r="BJ9" i="52"/>
  <c r="BI9" i="52"/>
  <c r="BH9" i="52"/>
  <c r="BM8" i="52"/>
  <c r="BL8" i="52"/>
  <c r="BK8" i="52"/>
  <c r="BJ8" i="52"/>
  <c r="BI8" i="52"/>
  <c r="BH8" i="52"/>
  <c r="BM7" i="52"/>
  <c r="AE79" i="58"/>
  <c r="AG78" i="58"/>
  <c r="BE78" i="58" s="1"/>
  <c r="AG77" i="58"/>
  <c r="AG76" i="58"/>
  <c r="AG75" i="58"/>
  <c r="AG74" i="58"/>
  <c r="N74" i="58" s="1"/>
  <c r="BE74" i="58"/>
  <c r="AG73" i="58"/>
  <c r="AG72" i="58"/>
  <c r="AG71" i="58"/>
  <c r="AG70" i="58"/>
  <c r="BE70" i="58" s="1"/>
  <c r="AG69" i="58"/>
  <c r="AG68" i="58"/>
  <c r="AG67" i="58"/>
  <c r="AE49" i="58"/>
  <c r="AG48" i="58"/>
  <c r="BE48" i="58" s="1"/>
  <c r="AG47" i="58"/>
  <c r="AG46" i="58"/>
  <c r="BE46" i="58"/>
  <c r="AG45" i="58"/>
  <c r="N45" i="58" s="1"/>
  <c r="AG44" i="58"/>
  <c r="N44" i="58" s="1"/>
  <c r="AG43" i="58"/>
  <c r="AG42" i="58"/>
  <c r="BE42" i="58"/>
  <c r="AG41" i="58"/>
  <c r="AG40" i="58"/>
  <c r="BE40" i="58" s="1"/>
  <c r="AG39" i="58"/>
  <c r="AG38" i="58"/>
  <c r="N38" i="58" s="1"/>
  <c r="AG37" i="58"/>
  <c r="AG18" i="58"/>
  <c r="N18" i="58"/>
  <c r="AG17" i="58"/>
  <c r="AG16" i="58"/>
  <c r="AG15" i="58"/>
  <c r="BE15" i="58"/>
  <c r="AG14" i="58"/>
  <c r="BE14" i="58" s="1"/>
  <c r="AG13" i="58"/>
  <c r="AG12" i="58"/>
  <c r="AG11" i="58"/>
  <c r="AG10" i="58"/>
  <c r="BE10" i="58" s="1"/>
  <c r="AG9" i="58"/>
  <c r="AG8" i="58"/>
  <c r="AG7" i="58"/>
  <c r="AE19" i="58"/>
  <c r="AE109" i="57"/>
  <c r="AG108" i="57"/>
  <c r="BE108" i="57" s="1"/>
  <c r="AG107" i="57"/>
  <c r="N107" i="57" s="1"/>
  <c r="AG106" i="57"/>
  <c r="N106" i="57" s="1"/>
  <c r="AG105" i="57"/>
  <c r="AG104" i="57"/>
  <c r="BE104" i="57" s="1"/>
  <c r="AG103" i="57"/>
  <c r="AG102" i="57"/>
  <c r="AG101" i="57"/>
  <c r="BE101" i="57" s="1"/>
  <c r="AG100" i="57"/>
  <c r="AG99" i="57"/>
  <c r="BE99" i="57"/>
  <c r="AG98" i="57"/>
  <c r="N98" i="57" s="1"/>
  <c r="AG97" i="57"/>
  <c r="AE79" i="57"/>
  <c r="AG78" i="57"/>
  <c r="N78" i="57" s="1"/>
  <c r="AG77" i="57"/>
  <c r="AG76" i="57"/>
  <c r="AG75" i="57"/>
  <c r="N75" i="57" s="1"/>
  <c r="BE75" i="57"/>
  <c r="AG74" i="57"/>
  <c r="BE74" i="57" s="1"/>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N40" i="57" s="1"/>
  <c r="AG39" i="57"/>
  <c r="AG38" i="57"/>
  <c r="BE38" i="57" s="1"/>
  <c r="AG37" i="57"/>
  <c r="BE37" i="57" s="1"/>
  <c r="AG18" i="57"/>
  <c r="N18" i="57" s="1"/>
  <c r="BE18" i="57"/>
  <c r="AG17" i="57"/>
  <c r="N17" i="57" s="1"/>
  <c r="AG16" i="57"/>
  <c r="N16" i="57" s="1"/>
  <c r="AG15" i="57"/>
  <c r="AG14" i="57"/>
  <c r="AG13" i="57"/>
  <c r="BE13" i="57" s="1"/>
  <c r="AG12" i="57"/>
  <c r="N12" i="57" s="1"/>
  <c r="AG11" i="57"/>
  <c r="BE11" i="57" s="1"/>
  <c r="AG10" i="57"/>
  <c r="BE10" i="57" s="1"/>
  <c r="AG9" i="57"/>
  <c r="AG8" i="57"/>
  <c r="N8" i="57" s="1"/>
  <c r="AG7" i="57"/>
  <c r="N7" i="57" s="1"/>
  <c r="AE19" i="57"/>
  <c r="AE79" i="55"/>
  <c r="AG78" i="55"/>
  <c r="AG77" i="55"/>
  <c r="AG76" i="55"/>
  <c r="AG75" i="55"/>
  <c r="BE75" i="55"/>
  <c r="AG74" i="55"/>
  <c r="AG73" i="55"/>
  <c r="AG72" i="55"/>
  <c r="BE72" i="55"/>
  <c r="AG71" i="55"/>
  <c r="N71" i="55" s="1"/>
  <c r="BE71" i="55"/>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s="1"/>
  <c r="AG15" i="55"/>
  <c r="AG14" i="55"/>
  <c r="BE14" i="55" s="1"/>
  <c r="AG13" i="55"/>
  <c r="BE13" i="55" s="1"/>
  <c r="AG12" i="55"/>
  <c r="BE12" i="55" s="1"/>
  <c r="AG11" i="55"/>
  <c r="BE11" i="55" s="1"/>
  <c r="AG10" i="55"/>
  <c r="BE10" i="55" s="1"/>
  <c r="AG9" i="55"/>
  <c r="N9" i="55" s="1"/>
  <c r="AG8" i="55"/>
  <c r="BE8" i="55"/>
  <c r="AG7" i="55"/>
  <c r="BE7" i="55" s="1"/>
  <c r="AE19" i="55"/>
  <c r="AE79" i="53"/>
  <c r="AG78" i="53"/>
  <c r="AG77" i="53"/>
  <c r="AG76" i="53"/>
  <c r="N76" i="53" s="1"/>
  <c r="BE76" i="53"/>
  <c r="AG75" i="53"/>
  <c r="BE75" i="53" s="1"/>
  <c r="AG74" i="53"/>
  <c r="AG73" i="53"/>
  <c r="BE73" i="53" s="1"/>
  <c r="AG72" i="53"/>
  <c r="AG71" i="53"/>
  <c r="BE71" i="53"/>
  <c r="AG70" i="53"/>
  <c r="AG69" i="53"/>
  <c r="AG68" i="53"/>
  <c r="BE68" i="53" s="1"/>
  <c r="AG67" i="53"/>
  <c r="BE67" i="53" s="1"/>
  <c r="AE49" i="53"/>
  <c r="AG48" i="53"/>
  <c r="AG47" i="53"/>
  <c r="N47" i="53" s="1"/>
  <c r="BE47" i="53"/>
  <c r="AG46" i="53"/>
  <c r="BE46" i="53" s="1"/>
  <c r="AG45" i="53"/>
  <c r="BE45" i="53"/>
  <c r="AG44" i="53"/>
  <c r="BE44" i="53" s="1"/>
  <c r="AG43" i="53"/>
  <c r="BE43" i="53" s="1"/>
  <c r="AG42" i="53"/>
  <c r="BE42" i="53" s="1"/>
  <c r="AG41" i="53"/>
  <c r="AG40" i="53"/>
  <c r="AG39" i="53"/>
  <c r="BE39" i="53"/>
  <c r="AG38" i="53"/>
  <c r="BE38" i="53" s="1"/>
  <c r="AG37" i="53"/>
  <c r="BE37" i="53" s="1"/>
  <c r="AG18" i="53"/>
  <c r="AG17" i="53"/>
  <c r="AG16" i="53"/>
  <c r="BE16" i="53"/>
  <c r="AG15" i="53"/>
  <c r="BE15" i="53" s="1"/>
  <c r="AG14" i="53"/>
  <c r="AG13" i="53"/>
  <c r="AG12" i="53"/>
  <c r="BE12" i="53"/>
  <c r="AG11" i="53"/>
  <c r="AG10" i="53"/>
  <c r="BE10" i="53" s="1"/>
  <c r="AG9" i="53"/>
  <c r="N9" i="53" s="1"/>
  <c r="AG8" i="53"/>
  <c r="AG7" i="53"/>
  <c r="N7" i="53" s="1"/>
  <c r="AE19" i="53"/>
  <c r="AG78" i="52"/>
  <c r="AG77" i="52"/>
  <c r="BE77" i="52"/>
  <c r="AG76" i="52"/>
  <c r="BE76" i="52" s="1"/>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c r="AG41" i="52"/>
  <c r="AG40" i="52"/>
  <c r="BE40" i="52" s="1"/>
  <c r="AG39" i="52"/>
  <c r="AG38" i="52"/>
  <c r="BE38" i="52" s="1"/>
  <c r="AG37" i="52"/>
  <c r="AG18" i="52"/>
  <c r="AG17" i="52"/>
  <c r="AG16" i="52"/>
  <c r="N16" i="52" s="1"/>
  <c r="AG15" i="52"/>
  <c r="AG14" i="52"/>
  <c r="AG13" i="52"/>
  <c r="AG12" i="52"/>
  <c r="AG11" i="52"/>
  <c r="AG10" i="52"/>
  <c r="BE10" i="52" s="1"/>
  <c r="AG9" i="52"/>
  <c r="BE9" i="52"/>
  <c r="AG8" i="52"/>
  <c r="BE8" i="52" s="1"/>
  <c r="AG7" i="52"/>
  <c r="BE7" i="52" s="1"/>
  <c r="AE79" i="52"/>
  <c r="AE49" i="52"/>
  <c r="AE19" i="52"/>
  <c r="CX4" i="16"/>
  <c r="CT6" i="16" s="1"/>
  <c r="CD4" i="16"/>
  <c r="BV5" i="16" s="1"/>
  <c r="BJ4" i="16"/>
  <c r="BB5" i="16" s="1"/>
  <c r="AP4" i="16"/>
  <c r="B14" i="16"/>
  <c r="B13" i="16"/>
  <c r="B12" i="16"/>
  <c r="CP16" i="16"/>
  <c r="CO16" i="16"/>
  <c r="BU16" i="16"/>
  <c r="BA16" i="16"/>
  <c r="AG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B11" i="105"/>
  <c r="C10" i="105"/>
  <c r="B10" i="105"/>
  <c r="C9" i="105"/>
  <c r="B9" i="105"/>
  <c r="C8" i="105"/>
  <c r="B8" i="105"/>
  <c r="A1" i="105"/>
  <c r="AC79" i="58"/>
  <c r="L79" i="58" s="1"/>
  <c r="AA79" i="58"/>
  <c r="J79" i="58" s="1"/>
  <c r="Y79" i="58"/>
  <c r="H79" i="58" s="1"/>
  <c r="W79" i="58"/>
  <c r="F79" i="58" s="1"/>
  <c r="U79" i="58"/>
  <c r="D79" i="58" s="1"/>
  <c r="AC49" i="58"/>
  <c r="L49" i="58" s="1"/>
  <c r="AA49" i="58"/>
  <c r="J49" i="58" s="1"/>
  <c r="Y49" i="58"/>
  <c r="H49" i="58" s="1"/>
  <c r="W49" i="58"/>
  <c r="F49" i="58"/>
  <c r="U49" i="58"/>
  <c r="AC19" i="58"/>
  <c r="L19" i="58" s="1"/>
  <c r="AA19" i="58"/>
  <c r="J19" i="58" s="1"/>
  <c r="Y19" i="58"/>
  <c r="AG19" i="58" s="1"/>
  <c r="BB20" i="58" s="1"/>
  <c r="W19" i="58"/>
  <c r="F19" i="58" s="1"/>
  <c r="U19" i="58"/>
  <c r="D19" i="58" s="1"/>
  <c r="AC109" i="57"/>
  <c r="L109" i="57" s="1"/>
  <c r="AA109" i="57"/>
  <c r="J109" i="57" s="1"/>
  <c r="Y109" i="57"/>
  <c r="H109" i="57" s="1"/>
  <c r="W109" i="57"/>
  <c r="F109" i="57" s="1"/>
  <c r="U109" i="57"/>
  <c r="D109" i="57" s="1"/>
  <c r="AC79" i="57"/>
  <c r="L79" i="57" s="1"/>
  <c r="AA79" i="57"/>
  <c r="J79" i="57" s="1"/>
  <c r="Y79" i="57"/>
  <c r="H79" i="57" s="1"/>
  <c r="W79" i="57"/>
  <c r="F79" i="57" s="1"/>
  <c r="U79" i="57"/>
  <c r="D79" i="57" s="1"/>
  <c r="AC49" i="57"/>
  <c r="L49" i="57" s="1"/>
  <c r="AA49" i="57"/>
  <c r="J49" i="57" s="1"/>
  <c r="Y49" i="57"/>
  <c r="H49" i="57" s="1"/>
  <c r="W49" i="57"/>
  <c r="F49" i="57" s="1"/>
  <c r="U49" i="57"/>
  <c r="D49" i="57" s="1"/>
  <c r="AC19" i="57"/>
  <c r="L19" i="57" s="1"/>
  <c r="AA19" i="57"/>
  <c r="J19" i="57" s="1"/>
  <c r="Y19" i="57"/>
  <c r="H19" i="57" s="1"/>
  <c r="W19" i="57"/>
  <c r="U19" i="57"/>
  <c r="D19" i="57" s="1"/>
  <c r="AC79" i="55"/>
  <c r="L79" i="55" s="1"/>
  <c r="AA79" i="55"/>
  <c r="J79" i="55" s="1"/>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J49" i="53" s="1"/>
  <c r="Y49" i="53"/>
  <c r="H49" i="53" s="1"/>
  <c r="W49" i="53"/>
  <c r="F49" i="53" s="1"/>
  <c r="U49" i="53"/>
  <c r="D49" i="53" s="1"/>
  <c r="AC19" i="53"/>
  <c r="L19" i="53" s="1"/>
  <c r="AA19" i="53"/>
  <c r="J19" i="53" s="1"/>
  <c r="Y19" i="53"/>
  <c r="W19" i="53"/>
  <c r="F19" i="53" s="1"/>
  <c r="U19" i="53"/>
  <c r="AG19" i="53" s="1"/>
  <c r="BB20" i="53" s="1"/>
  <c r="AC79" i="52"/>
  <c r="L79" i="52" s="1"/>
  <c r="AA79" i="52"/>
  <c r="Y79" i="52"/>
  <c r="H79" i="52" s="1"/>
  <c r="W79" i="52"/>
  <c r="F79" i="52" s="1"/>
  <c r="U79" i="52"/>
  <c r="D79" i="52" s="1"/>
  <c r="AC49" i="52"/>
  <c r="AA49" i="52"/>
  <c r="J49" i="52" s="1"/>
  <c r="Y49" i="52"/>
  <c r="H49" i="52" s="1"/>
  <c r="W49" i="52"/>
  <c r="F49" i="52" s="1"/>
  <c r="U49" i="52"/>
  <c r="D49" i="52" s="1"/>
  <c r="BE15" i="52"/>
  <c r="AC19" i="52"/>
  <c r="AA19" i="52"/>
  <c r="J19" i="52" s="1"/>
  <c r="Y19" i="52"/>
  <c r="H19" i="52" s="1"/>
  <c r="W19" i="52"/>
  <c r="F19" i="52" s="1"/>
  <c r="U19" i="52"/>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F51" i="86" s="1"/>
  <c r="F52" i="86" s="1"/>
  <c r="B31" i="85"/>
  <c r="B31" i="84"/>
  <c r="D51" i="84" s="1"/>
  <c r="D52" i="84" s="1"/>
  <c r="B31" i="45"/>
  <c r="G33" i="45" s="1"/>
  <c r="B31" i="41"/>
  <c r="B60" i="41" s="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s="1"/>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BR37" i="58" s="1"/>
  <c r="BR38" i="58" s="1"/>
  <c r="BR39" i="58" s="1"/>
  <c r="BR40" i="58" s="1"/>
  <c r="BR41" i="58" s="1"/>
  <c r="BR42" i="58" s="1"/>
  <c r="BR43" i="58" s="1"/>
  <c r="BR44" i="58" s="1"/>
  <c r="BR45" i="58" s="1"/>
  <c r="BR46" i="58" s="1"/>
  <c r="BR47" i="58" s="1"/>
  <c r="BR48" i="58" s="1"/>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s="1"/>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R7" i="58" s="1"/>
  <c r="BR8" i="58" s="1"/>
  <c r="BR9" i="58" s="1"/>
  <c r="BR10" i="58" s="1"/>
  <c r="BR11" i="58" s="1"/>
  <c r="BR12" i="58" s="1"/>
  <c r="BR13" i="58" s="1"/>
  <c r="BR14" i="58" s="1"/>
  <c r="BR15" i="58" s="1"/>
  <c r="BR16" i="58" s="1"/>
  <c r="BR17" i="58" s="1"/>
  <c r="BR18" i="58" s="1"/>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D19"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M31" i="57" s="1"/>
  <c r="BK2" i="16"/>
  <c r="AQ2" i="16"/>
  <c r="V62" i="55" s="1"/>
  <c r="E62" i="55" s="1"/>
  <c r="BA1" i="16"/>
  <c r="AG1" i="16"/>
  <c r="AD61" i="53" s="1"/>
  <c r="M61" i="53" s="1"/>
  <c r="W2" i="16"/>
  <c r="D2" i="45" s="1"/>
  <c r="E8" i="90" s="1"/>
  <c r="M1" i="16"/>
  <c r="AD31" i="52" s="1"/>
  <c r="M31" i="52" s="1"/>
  <c r="C2" i="16"/>
  <c r="D60" i="41" s="1"/>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N46" i="58"/>
  <c r="L73" i="58"/>
  <c r="N10" i="58"/>
  <c r="L37" i="58"/>
  <c r="L43" i="58"/>
  <c r="J70" i="58"/>
  <c r="L13" i="58"/>
  <c r="L46" i="58"/>
  <c r="L67" i="58"/>
  <c r="L10" i="58"/>
  <c r="L16" i="58"/>
  <c r="J76" i="58"/>
  <c r="N73" i="57"/>
  <c r="J100" i="57"/>
  <c r="J70" i="57"/>
  <c r="J16" i="57"/>
  <c r="J46" i="57"/>
  <c r="J40" i="57"/>
  <c r="L73" i="57"/>
  <c r="J76" i="57"/>
  <c r="L97" i="57"/>
  <c r="J106" i="57"/>
  <c r="L43" i="57"/>
  <c r="J10" i="57"/>
  <c r="L13" i="57"/>
  <c r="J40" i="55"/>
  <c r="J46" i="55"/>
  <c r="J10" i="55"/>
  <c r="L67" i="55"/>
  <c r="J76" i="55"/>
  <c r="J16" i="55"/>
  <c r="J70" i="55"/>
  <c r="L67" i="53"/>
  <c r="J40" i="53"/>
  <c r="L73" i="53"/>
  <c r="L76" i="53"/>
  <c r="N67" i="53"/>
  <c r="L16" i="53"/>
  <c r="L70" i="53"/>
  <c r="N40" i="58"/>
  <c r="L40" i="58"/>
  <c r="L46" i="53"/>
  <c r="L10" i="53"/>
  <c r="L76" i="58"/>
  <c r="L70" i="58"/>
  <c r="L10" i="57"/>
  <c r="L70" i="57"/>
  <c r="L100" i="57"/>
  <c r="L106" i="57"/>
  <c r="L76" i="57"/>
  <c r="L46" i="57"/>
  <c r="L16" i="57"/>
  <c r="L40" i="57"/>
  <c r="L46" i="55"/>
  <c r="L10" i="55"/>
  <c r="L70" i="55"/>
  <c r="L16" i="55"/>
  <c r="L76" i="55"/>
  <c r="L40" i="55"/>
  <c r="L40" i="53"/>
  <c r="N73" i="53"/>
  <c r="N70" i="58"/>
  <c r="N16" i="55"/>
  <c r="B32" i="85"/>
  <c r="D51" i="85"/>
  <c r="D52" i="85" s="1"/>
  <c r="B32" i="86"/>
  <c r="B60" i="86"/>
  <c r="D80" i="86" s="1"/>
  <c r="D81" i="86" s="1"/>
  <c r="F80" i="86"/>
  <c r="F81" i="86"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M6" i="16"/>
  <c r="V34" i="52" s="1"/>
  <c r="AH33" i="52" s="1"/>
  <c r="B32" i="45"/>
  <c r="X64" i="52"/>
  <c r="V94" i="57"/>
  <c r="X34" i="53"/>
  <c r="V34" i="53"/>
  <c r="AH33" i="53" s="1"/>
  <c r="N70" i="55"/>
  <c r="N43" i="55"/>
  <c r="N37" i="55"/>
  <c r="BG37" i="55"/>
  <c r="N10" i="55"/>
  <c r="BU12" i="53"/>
  <c r="BF9" i="53"/>
  <c r="N42" i="58"/>
  <c r="BP76" i="57"/>
  <c r="BG9" i="53"/>
  <c r="BE70" i="57"/>
  <c r="S13" i="52"/>
  <c r="B13" i="52" s="1"/>
  <c r="S46" i="53"/>
  <c r="B46" i="53" s="1"/>
  <c r="S43" i="52"/>
  <c r="B43" i="52" s="1"/>
  <c r="S11" i="53"/>
  <c r="B11" i="53" s="1"/>
  <c r="S67" i="52"/>
  <c r="B67" i="52" s="1"/>
  <c r="BE70" i="52"/>
  <c r="N70" i="52"/>
  <c r="BE8" i="58"/>
  <c r="N8" i="58"/>
  <c r="N72" i="53"/>
  <c r="BE72" i="53"/>
  <c r="BU18" i="52"/>
  <c r="BG48" i="52"/>
  <c r="N108" i="57"/>
  <c r="BP68" i="52"/>
  <c r="BG68" i="52"/>
  <c r="BU68" i="53"/>
  <c r="BT68" i="53"/>
  <c r="N8" i="55"/>
  <c r="BG40" i="58"/>
  <c r="BU42" i="58"/>
  <c r="BU44" i="57"/>
  <c r="BP42" i="58"/>
  <c r="BP71" i="55"/>
  <c r="BG70" i="57"/>
  <c r="BP78" i="58"/>
  <c r="S40" i="55"/>
  <c r="B40" i="55" s="1"/>
  <c r="S37" i="53"/>
  <c r="B37" i="53" s="1"/>
  <c r="S46" i="52"/>
  <c r="B46" i="52" s="1"/>
  <c r="S40" i="53"/>
  <c r="B40" i="53" s="1"/>
  <c r="S43" i="55"/>
  <c r="B43" i="55" s="1"/>
  <c r="D51" i="86"/>
  <c r="D52" i="86"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X94" i="57"/>
  <c r="X64" i="57"/>
  <c r="Z64" i="57"/>
  <c r="Z94" i="57"/>
  <c r="Z34" i="53"/>
  <c r="Z64" i="52"/>
  <c r="Y52" i="58"/>
  <c r="H52" i="58" s="1"/>
  <c r="Y82" i="57"/>
  <c r="H82" i="57" s="1"/>
  <c r="Y112" i="57"/>
  <c r="Y113" i="57" s="1"/>
  <c r="H113" i="57" s="1"/>
  <c r="X9" i="16"/>
  <c r="Y52" i="53"/>
  <c r="Y53" i="53" s="1"/>
  <c r="H53" i="53" s="1"/>
  <c r="Y82" i="52"/>
  <c r="H82" i="52" s="1"/>
  <c r="DR12" i="16"/>
  <c r="V64" i="52"/>
  <c r="AH63" i="52" s="1"/>
  <c r="AB64" i="57"/>
  <c r="AB94" i="57"/>
  <c r="AB34" i="53"/>
  <c r="AB64" i="52"/>
  <c r="AA52" i="58"/>
  <c r="J52" i="58" s="1"/>
  <c r="AA112" i="57"/>
  <c r="AA113" i="57" s="1"/>
  <c r="J113" i="57" s="1"/>
  <c r="AA82" i="57"/>
  <c r="AA52" i="53"/>
  <c r="J52" i="53" s="1"/>
  <c r="AA82" i="52"/>
  <c r="J82" i="52" s="1"/>
  <c r="DH5" i="16"/>
  <c r="CD7" i="16"/>
  <c r="AD64" i="57"/>
  <c r="AD94" i="57"/>
  <c r="AD34" i="53"/>
  <c r="AD64" i="52"/>
  <c r="AC52" i="58"/>
  <c r="L52" i="58" s="1"/>
  <c r="CN6" i="16"/>
  <c r="AC112" i="57"/>
  <c r="L112" i="57" s="1"/>
  <c r="AC82" i="57"/>
  <c r="AC83" i="57" s="1"/>
  <c r="L83" i="57" s="1"/>
  <c r="BT7" i="16"/>
  <c r="AC52" i="53"/>
  <c r="AF6" i="16"/>
  <c r="AC82" i="52"/>
  <c r="L82" i="52" s="1"/>
  <c r="AF64" i="57"/>
  <c r="AF94" i="57"/>
  <c r="AF34" i="53"/>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BG47" i="58"/>
  <c r="DI7" i="16"/>
  <c r="CP7" i="16"/>
  <c r="V34" i="55"/>
  <c r="AH33" i="55" s="1"/>
  <c r="BB7" i="16"/>
  <c r="BA7" i="16"/>
  <c r="V64" i="55" s="1"/>
  <c r="AH63" i="55" s="1"/>
  <c r="AG5" i="16"/>
  <c r="V4" i="53" s="1"/>
  <c r="AH3" i="53" s="1"/>
  <c r="Z34" i="108"/>
  <c r="CZ9" i="16"/>
  <c r="V2" i="108"/>
  <c r="E2" i="108" s="1"/>
  <c r="V62" i="108"/>
  <c r="E62" i="108" s="1"/>
  <c r="L59" i="45"/>
  <c r="L59" i="84"/>
  <c r="P1" i="63"/>
  <c r="D31" i="85"/>
  <c r="V92" i="57"/>
  <c r="E92" i="57" s="1"/>
  <c r="V62" i="57"/>
  <c r="E62" i="57" s="1"/>
  <c r="L30" i="107"/>
  <c r="L59" i="107"/>
  <c r="H22" i="86"/>
  <c r="H23" i="86" s="1"/>
  <c r="BE9" i="58"/>
  <c r="N9" i="58"/>
  <c r="BE45" i="52"/>
  <c r="N45" i="52"/>
  <c r="L59" i="41"/>
  <c r="BT73" i="53"/>
  <c r="BE14" i="53"/>
  <c r="N14" i="53"/>
  <c r="N42" i="53"/>
  <c r="BG75" i="53"/>
  <c r="BT75" i="53"/>
  <c r="N48" i="52"/>
  <c r="BU46" i="53"/>
  <c r="BF38" i="58"/>
  <c r="BG69" i="108"/>
  <c r="BP71" i="108"/>
  <c r="BU71" i="108"/>
  <c r="BF77" i="58"/>
  <c r="N45" i="53"/>
  <c r="BG39" i="58"/>
  <c r="BG73" i="108"/>
  <c r="BM6" i="16"/>
  <c r="BU37" i="58"/>
  <c r="BU17" i="108"/>
  <c r="BP17" i="108"/>
  <c r="BF16" i="108"/>
  <c r="BP16" i="108"/>
  <c r="BP74" i="58"/>
  <c r="BE8" i="108"/>
  <c r="BE9" i="108"/>
  <c r="BE45" i="108"/>
  <c r="BU47" i="108"/>
  <c r="BE74" i="108"/>
  <c r="V32" i="108"/>
  <c r="E32" i="108" s="1"/>
  <c r="L1" i="107"/>
  <c r="Q6" i="113" s="1"/>
  <c r="B63" i="108"/>
  <c r="BF18" i="108"/>
  <c r="BG18" i="108"/>
  <c r="AD1" i="108"/>
  <c r="N1" i="108" s="1"/>
  <c r="AD31" i="108"/>
  <c r="N31" i="108" s="1"/>
  <c r="BP76" i="52"/>
  <c r="D49" i="58"/>
  <c r="BE47" i="55"/>
  <c r="E4" i="45"/>
  <c r="Q3" i="45" s="1"/>
  <c r="BU69" i="55"/>
  <c r="BT69" i="55"/>
  <c r="BP78" i="55"/>
  <c r="BF8" i="57"/>
  <c r="BT8" i="57"/>
  <c r="BU8" i="57"/>
  <c r="BG8" i="57"/>
  <c r="BP44" i="55"/>
  <c r="BU44" i="55"/>
  <c r="H22" i="41"/>
  <c r="H23" i="41" s="1"/>
  <c r="F5" i="16"/>
  <c r="AA22" i="52" s="1"/>
  <c r="Y22" i="52"/>
  <c r="Y23" i="52" s="1"/>
  <c r="H23" i="52" s="1"/>
  <c r="BE41" i="52"/>
  <c r="N41" i="52"/>
  <c r="BG13" i="52"/>
  <c r="N103" i="57"/>
  <c r="BE103" i="57"/>
  <c r="N68" i="55"/>
  <c r="BE68" i="55"/>
  <c r="BE39" i="55"/>
  <c r="N71" i="58"/>
  <c r="BE71" i="58"/>
  <c r="N12" i="52"/>
  <c r="BE12" i="52"/>
  <c r="N14" i="58"/>
  <c r="B3" i="52"/>
  <c r="AH5" i="16"/>
  <c r="X4" i="53" s="1"/>
  <c r="AG7" i="16"/>
  <c r="N41" i="55"/>
  <c r="J49" i="55"/>
  <c r="N73" i="52"/>
  <c r="BF67" i="58"/>
  <c r="N46" i="53"/>
  <c r="BE78" i="55"/>
  <c r="N78" i="55"/>
  <c r="BE11" i="58"/>
  <c r="N11" i="58"/>
  <c r="BG67" i="58"/>
  <c r="BG18" i="58"/>
  <c r="BG43" i="58"/>
  <c r="BE78" i="53"/>
  <c r="N78" i="53"/>
  <c r="N74" i="55"/>
  <c r="BE74" i="55"/>
  <c r="BE71" i="57"/>
  <c r="BG78" i="53"/>
  <c r="BP14" i="58"/>
  <c r="BU14" i="58"/>
  <c r="BE10" i="108"/>
  <c r="N10" i="108"/>
  <c r="N12" i="108"/>
  <c r="BE12" i="108"/>
  <c r="BU68" i="108"/>
  <c r="BE76" i="108"/>
  <c r="N12" i="55"/>
  <c r="D31" i="107"/>
  <c r="H51" i="107"/>
  <c r="H52" i="107" s="1"/>
  <c r="B32" i="107"/>
  <c r="BG14" i="108"/>
  <c r="N10" i="52"/>
  <c r="N7" i="52"/>
  <c r="AG19" i="52"/>
  <c r="N19" i="52" s="1"/>
  <c r="N9" i="52"/>
  <c r="V4" i="58"/>
  <c r="AH3" i="58" s="1"/>
  <c r="D31" i="86"/>
  <c r="N15" i="58"/>
  <c r="F19" i="108"/>
  <c r="CF9" i="16"/>
  <c r="BE43" i="108"/>
  <c r="N44" i="108"/>
  <c r="N75" i="108"/>
  <c r="BE18" i="58"/>
  <c r="DA7" i="16"/>
  <c r="DB7" i="16" s="1"/>
  <c r="Y82" i="108"/>
  <c r="H82" i="108" s="1"/>
  <c r="BE45" i="58"/>
  <c r="BE72" i="52"/>
  <c r="N41" i="108"/>
  <c r="BE98" i="57"/>
  <c r="N73" i="108"/>
  <c r="AD31" i="58"/>
  <c r="N31" i="58" s="1"/>
  <c r="L59" i="86"/>
  <c r="AD61" i="58"/>
  <c r="N61" i="58" s="1"/>
  <c r="AD1" i="58"/>
  <c r="P1" i="109" s="1"/>
  <c r="L30" i="86"/>
  <c r="DJ16" i="16"/>
  <c r="BG45" i="58"/>
  <c r="BE9" i="55"/>
  <c r="BE78" i="57"/>
  <c r="BU7" i="108"/>
  <c r="N46" i="55"/>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BT8" i="52"/>
  <c r="BP8" i="52"/>
  <c r="BT70" i="53"/>
  <c r="BG70" i="53"/>
  <c r="BF70" i="53"/>
  <c r="CQ16" i="16"/>
  <c r="BT68" i="52"/>
  <c r="BU68" i="52"/>
  <c r="BP70" i="57"/>
  <c r="BT44" i="52"/>
  <c r="BP44" i="52"/>
  <c r="BU75" i="55"/>
  <c r="BG75" i="55"/>
  <c r="BT75" i="55"/>
  <c r="BG10" i="53"/>
  <c r="BE69" i="52"/>
  <c r="N69" i="52"/>
  <c r="BT71" i="52"/>
  <c r="BU48" i="55"/>
  <c r="BT48" i="55"/>
  <c r="BF48" i="55"/>
  <c r="BG68" i="55"/>
  <c r="BP68" i="55"/>
  <c r="BP7" i="58"/>
  <c r="BF40" i="58"/>
  <c r="BU40" i="58"/>
  <c r="BU17" i="55"/>
  <c r="BP41" i="55"/>
  <c r="BT41" i="55"/>
  <c r="BU12" i="57"/>
  <c r="BP18" i="58"/>
  <c r="BE15" i="55"/>
  <c r="N15" i="55"/>
  <c r="BG14" i="58"/>
  <c r="BG10" i="55"/>
  <c r="N11" i="53"/>
  <c r="BE11" i="53"/>
  <c r="BU8" i="55"/>
  <c r="BP8" i="55"/>
  <c r="BU43" i="58"/>
  <c r="BT43" i="58"/>
  <c r="N17" i="55"/>
  <c r="BE17" i="55"/>
  <c r="BT18" i="52"/>
  <c r="BP18" i="52"/>
  <c r="N37" i="58"/>
  <c r="BE37" i="58"/>
  <c r="BU16" i="53"/>
  <c r="N11" i="52"/>
  <c r="BE11" i="52"/>
  <c r="BP74" i="57"/>
  <c r="BF101" i="57"/>
  <c r="BP101" i="57"/>
  <c r="BF103" i="57"/>
  <c r="BF10" i="58"/>
  <c r="BP10" i="58"/>
  <c r="BG75" i="58"/>
  <c r="BT43" i="53"/>
  <c r="BF8" i="58"/>
  <c r="N13" i="52"/>
  <c r="BE13" i="52"/>
  <c r="BU13" i="52" s="1"/>
  <c r="BU18" i="57"/>
  <c r="BF72" i="57"/>
  <c r="BF74" i="57"/>
  <c r="BP75" i="58"/>
  <c r="BT75" i="58"/>
  <c r="N75" i="53"/>
  <c r="N11" i="108"/>
  <c r="N43" i="57"/>
  <c r="B17" i="108"/>
  <c r="G33" i="84"/>
  <c r="F51" i="84"/>
  <c r="F52" i="84" s="1"/>
  <c r="J79" i="52"/>
  <c r="AG79" i="52"/>
  <c r="N79" i="52" s="1"/>
  <c r="M91" i="57"/>
  <c r="AD91" i="57"/>
  <c r="L1" i="85"/>
  <c r="Q6" i="92" s="1"/>
  <c r="AD61" i="57"/>
  <c r="L30" i="85"/>
  <c r="BE72" i="58"/>
  <c r="N72" i="58"/>
  <c r="BE74" i="52"/>
  <c r="N74" i="52"/>
  <c r="BG37" i="52"/>
  <c r="BT39" i="52"/>
  <c r="BU39" i="52"/>
  <c r="BF39" i="52"/>
  <c r="I33" i="45"/>
  <c r="BG12" i="55"/>
  <c r="BT12" i="55"/>
  <c r="BP12" i="55"/>
  <c r="BF74" i="58"/>
  <c r="BT74" i="58"/>
  <c r="BU74" i="58"/>
  <c r="CG9" i="16"/>
  <c r="BE37" i="52"/>
  <c r="N37" i="52"/>
  <c r="H80" i="86"/>
  <c r="H81" i="86" s="1"/>
  <c r="B61" i="86"/>
  <c r="V62" i="58"/>
  <c r="E62" i="58" s="1"/>
  <c r="D2" i="86"/>
  <c r="E8" i="93" s="1"/>
  <c r="S47" i="52"/>
  <c r="B47" i="52" s="1"/>
  <c r="S46" i="55"/>
  <c r="BU72" i="52"/>
  <c r="BF72" i="52"/>
  <c r="BP72" i="52"/>
  <c r="BF67" i="57"/>
  <c r="BP67" i="57"/>
  <c r="BG74" i="58"/>
  <c r="BE100" i="57"/>
  <c r="N100" i="57"/>
  <c r="BE39" i="58"/>
  <c r="N39" i="58"/>
  <c r="BU8" i="52"/>
  <c r="BG8" i="52"/>
  <c r="BF8" i="52"/>
  <c r="BT76" i="55"/>
  <c r="CQ7" i="16"/>
  <c r="Z64" i="58"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BU12" i="55"/>
  <c r="BP77" i="58"/>
  <c r="BT77" i="58"/>
  <c r="N13" i="55"/>
  <c r="BF10" i="55"/>
  <c r="BT74" i="57"/>
  <c r="BF108" i="57"/>
  <c r="N45" i="55"/>
  <c r="BE45" i="55"/>
  <c r="BF106" i="57"/>
  <c r="BG15" i="58"/>
  <c r="BT40" i="58"/>
  <c r="BU18" i="108"/>
  <c r="N74" i="57"/>
  <c r="BU40" i="55"/>
  <c r="BF73" i="58"/>
  <c r="BP70" i="58"/>
  <c r="BF70" i="58"/>
  <c r="BT70" i="58"/>
  <c r="BG70" i="58"/>
  <c r="BU67" i="58"/>
  <c r="BP67" i="58"/>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BG41" i="58"/>
  <c r="BP45" i="58"/>
  <c r="BT47" i="53"/>
  <c r="BG46" i="52"/>
  <c r="BG39" i="55"/>
  <c r="BP37" i="53"/>
  <c r="BF47" i="55"/>
  <c r="BT38" i="57"/>
  <c r="BF39" i="55"/>
  <c r="BG38" i="57"/>
  <c r="BE38" i="58"/>
  <c r="BF37" i="53"/>
  <c r="BU39" i="55"/>
  <c r="BP39" i="55"/>
  <c r="BT37" i="58"/>
  <c r="N42" i="108"/>
  <c r="BE48" i="108"/>
  <c r="N43" i="53"/>
  <c r="BF39" i="57"/>
  <c r="BE42" i="52"/>
  <c r="N48" i="57"/>
  <c r="BU47" i="55"/>
  <c r="BP37" i="58"/>
  <c r="BF46" i="52"/>
  <c r="BG46" i="108"/>
  <c r="BT48" i="52"/>
  <c r="BG48" i="108"/>
  <c r="BT37" i="53"/>
  <c r="BG47" i="55"/>
  <c r="BP44" i="58"/>
  <c r="BF42" i="108"/>
  <c r="BF48" i="52"/>
  <c r="BF39" i="58"/>
  <c r="BP47" i="58"/>
  <c r="BF13" i="52"/>
  <c r="BG7" i="108"/>
  <c r="BU11" i="58"/>
  <c r="BU12" i="108"/>
  <c r="BF7" i="58"/>
  <c r="BU9" i="53"/>
  <c r="BU17" i="53"/>
  <c r="BU14" i="108"/>
  <c r="BG11" i="108"/>
  <c r="BP8" i="108"/>
  <c r="BP18" i="108"/>
  <c r="N10" i="57"/>
  <c r="BU73" i="108"/>
  <c r="BU70" i="58"/>
  <c r="BT68" i="58"/>
  <c r="BE44" i="58"/>
  <c r="BF15" i="57"/>
  <c r="BG12" i="57"/>
  <c r="BT12" i="57"/>
  <c r="BP12" i="57"/>
  <c r="BF12" i="57"/>
  <c r="BP14" i="57"/>
  <c r="BT14" i="57"/>
  <c r="BG14" i="57"/>
  <c r="BF14"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T11" i="57"/>
  <c r="BF11" i="57"/>
  <c r="BU11" i="57"/>
  <c r="BF17" i="57"/>
  <c r="BU45" i="57"/>
  <c r="BT45" i="57"/>
  <c r="BP45" i="57"/>
  <c r="BF45" i="57"/>
  <c r="BP46"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N14" i="57"/>
  <c r="BE14" i="57"/>
  <c r="BF42" i="57"/>
  <c r="BP42" i="57"/>
  <c r="BG42" i="57"/>
  <c r="N41" i="57"/>
  <c r="BE102" i="57"/>
  <c r="N102" i="57"/>
  <c r="BU41" i="57"/>
  <c r="BF41" i="57"/>
  <c r="BP41" i="57"/>
  <c r="BG41" i="57"/>
  <c r="BT41" i="57"/>
  <c r="BE97" i="57"/>
  <c r="N97" i="57"/>
  <c r="BU17" i="57"/>
  <c r="BT17" i="57"/>
  <c r="BP17" i="57"/>
  <c r="BU43" i="55"/>
  <c r="BU46" i="55"/>
  <c r="BU70" i="53"/>
  <c r="BU10" i="53"/>
  <c r="BU73" i="53"/>
  <c r="Y83" i="52"/>
  <c r="H83" i="52" s="1"/>
  <c r="BU43" i="52"/>
  <c r="BT13" i="57" l="1"/>
  <c r="BP13" i="57"/>
  <c r="BG43" i="57"/>
  <c r="BP10" i="57"/>
  <c r="BT10" i="57"/>
  <c r="BF46" i="57"/>
  <c r="BU46" i="57"/>
  <c r="BU40" i="57"/>
  <c r="BG40" i="57"/>
  <c r="N37" i="57"/>
  <c r="BU13" i="57"/>
  <c r="BG13" i="57"/>
  <c r="BE7" i="57"/>
  <c r="BU7" i="57" s="1"/>
  <c r="BP43" i="57"/>
  <c r="BT43" i="57"/>
  <c r="BE40" i="57"/>
  <c r="BG16" i="57"/>
  <c r="BE16" i="57"/>
  <c r="BU16" i="57" s="1"/>
  <c r="BF16" i="57"/>
  <c r="BP16" i="57"/>
  <c r="BT37" i="57"/>
  <c r="BF37" i="57"/>
  <c r="BP37" i="57"/>
  <c r="BU37" i="57"/>
  <c r="BU5" i="16"/>
  <c r="V4" i="57" s="1"/>
  <c r="AH3" i="57" s="1"/>
  <c r="BV6" i="16"/>
  <c r="BU6" i="16"/>
  <c r="V34" i="57" s="1"/>
  <c r="AH33" i="57" s="1"/>
  <c r="E33" i="85"/>
  <c r="Q32" i="85" s="1"/>
  <c r="G4" i="85"/>
  <c r="X4" i="57"/>
  <c r="E4" i="108"/>
  <c r="E4" i="52"/>
  <c r="M9" i="16"/>
  <c r="V4" i="52"/>
  <c r="AH3" i="52" s="1"/>
  <c r="E34" i="58"/>
  <c r="AF34" i="58"/>
  <c r="O33" i="86"/>
  <c r="E64" i="52"/>
  <c r="E4" i="107"/>
  <c r="Q3" i="107" s="1"/>
  <c r="DI9" i="16"/>
  <c r="V4" i="108"/>
  <c r="AH3" i="108" s="1"/>
  <c r="E64" i="53"/>
  <c r="X4" i="55"/>
  <c r="G4" i="84"/>
  <c r="BF7" i="52"/>
  <c r="L1" i="41"/>
  <c r="Q6" i="89" s="1"/>
  <c r="AC83" i="52"/>
  <c r="L83" i="52" s="1"/>
  <c r="E94" i="57"/>
  <c r="D51" i="45"/>
  <c r="D52" i="45" s="1"/>
  <c r="F51" i="41"/>
  <c r="F52" i="41" s="1"/>
  <c r="AG49" i="57"/>
  <c r="BU14" i="57"/>
  <c r="BF45" i="58"/>
  <c r="BT42" i="108"/>
  <c r="D9" i="16"/>
  <c r="DJ5" i="16"/>
  <c r="G4" i="107" s="1"/>
  <c r="K33" i="45"/>
  <c r="E4" i="53"/>
  <c r="B32" i="41"/>
  <c r="L1" i="45"/>
  <c r="Q6" i="90" s="1"/>
  <c r="H19" i="58"/>
  <c r="BP39" i="53"/>
  <c r="BG17" i="57"/>
  <c r="DK5" i="16"/>
  <c r="D19" i="53"/>
  <c r="BB80" i="52"/>
  <c r="L51" i="86"/>
  <c r="L52" i="86" s="1"/>
  <c r="N49" i="108"/>
  <c r="AD1" i="57"/>
  <c r="P1" i="70" s="1"/>
  <c r="E34" i="53"/>
  <c r="D31" i="45"/>
  <c r="E64" i="57"/>
  <c r="W23" i="52"/>
  <c r="F23" i="52" s="1"/>
  <c r="K33" i="86"/>
  <c r="D60" i="86"/>
  <c r="L59" i="85"/>
  <c r="V62" i="53"/>
  <c r="E62" i="53" s="1"/>
  <c r="BT13" i="52"/>
  <c r="BU15" i="52"/>
  <c r="BF40" i="52"/>
  <c r="BP47" i="52"/>
  <c r="BF70" i="52"/>
  <c r="BT38" i="53"/>
  <c r="BU18" i="55"/>
  <c r="BU41" i="55"/>
  <c r="BP48" i="55"/>
  <c r="BP39" i="57"/>
  <c r="BT73" i="108"/>
  <c r="BT76" i="108"/>
  <c r="BA5" i="16"/>
  <c r="DL5" i="16"/>
  <c r="BF8" i="53"/>
  <c r="BF75" i="53"/>
  <c r="BP78" i="53"/>
  <c r="BG11" i="57"/>
  <c r="BU74" i="57"/>
  <c r="BU17" i="58"/>
  <c r="BF46" i="108"/>
  <c r="BF5" i="16"/>
  <c r="DM5" i="16"/>
  <c r="B60" i="45"/>
  <c r="B61" i="45" s="1"/>
  <c r="AG49" i="55"/>
  <c r="N49" i="55" s="1"/>
  <c r="N16" i="16"/>
  <c r="BE106" i="57"/>
  <c r="BP97" i="57"/>
  <c r="BU104" i="57"/>
  <c r="BC7" i="16"/>
  <c r="Z64" i="55" s="1"/>
  <c r="BE5" i="16"/>
  <c r="DN5" i="16"/>
  <c r="O4" i="107" s="1"/>
  <c r="BW5" i="16"/>
  <c r="Z4" i="57" s="1"/>
  <c r="M6" i="111"/>
  <c r="BU40" i="108"/>
  <c r="BU43" i="108"/>
  <c r="BD5" i="16"/>
  <c r="CO7" i="16"/>
  <c r="AG49" i="52"/>
  <c r="BP9" i="52"/>
  <c r="BU17" i="52"/>
  <c r="BG42" i="52"/>
  <c r="BU74" i="52"/>
  <c r="BF15" i="53"/>
  <c r="BU40" i="53"/>
  <c r="BP47" i="53"/>
  <c r="BT13" i="55"/>
  <c r="BT38" i="55"/>
  <c r="BG48" i="55"/>
  <c r="BU68" i="55"/>
  <c r="BF102" i="57"/>
  <c r="BC5" i="16"/>
  <c r="CO6" i="16"/>
  <c r="BP37" i="52"/>
  <c r="BF44" i="52"/>
  <c r="BP9" i="53"/>
  <c r="BT10" i="53"/>
  <c r="BF15" i="55"/>
  <c r="BT37" i="108"/>
  <c r="CP6" i="16"/>
  <c r="X34" i="58" s="1"/>
  <c r="BU77" i="55"/>
  <c r="BF43" i="57"/>
  <c r="BG68" i="57"/>
  <c r="Y88" i="58"/>
  <c r="Z76" i="58" s="1"/>
  <c r="I76" i="58" s="1"/>
  <c r="CQ6" i="16"/>
  <c r="Z34" i="58" s="1"/>
  <c r="E33" i="45"/>
  <c r="Q32" i="45" s="1"/>
  <c r="H51" i="86"/>
  <c r="H52" i="86" s="1"/>
  <c r="BF14" i="58"/>
  <c r="BU38" i="108"/>
  <c r="AG79" i="108"/>
  <c r="BB80" i="108" s="1"/>
  <c r="CR6" i="16"/>
  <c r="AB34" i="58" s="1"/>
  <c r="BP38" i="52"/>
  <c r="BT69" i="52"/>
  <c r="BT11" i="53"/>
  <c r="BT42" i="53"/>
  <c r="BP9" i="55"/>
  <c r="BG70" i="55"/>
  <c r="BT75" i="57"/>
  <c r="BF9" i="58"/>
  <c r="BP43" i="58"/>
  <c r="BF11" i="108"/>
  <c r="BP75" i="108"/>
  <c r="CS6" i="16"/>
  <c r="AD34" i="58" s="1"/>
  <c r="BB9" i="16"/>
  <c r="BU14" i="52"/>
  <c r="BP44" i="53"/>
  <c r="BP15" i="58"/>
  <c r="BP45" i="108"/>
  <c r="DR5" i="16"/>
  <c r="I62" i="41"/>
  <c r="J80" i="41"/>
  <c r="J81" i="41" s="1"/>
  <c r="H80" i="41"/>
  <c r="H81" i="41" s="1"/>
  <c r="B60" i="107"/>
  <c r="B61" i="107" s="1"/>
  <c r="G33" i="107"/>
  <c r="L51" i="107"/>
  <c r="L52" i="107" s="1"/>
  <c r="J51" i="86"/>
  <c r="J52" i="86" s="1"/>
  <c r="AA83" i="52"/>
  <c r="J83" i="52" s="1"/>
  <c r="J51" i="107"/>
  <c r="J52" i="107" s="1"/>
  <c r="O33" i="45"/>
  <c r="H51" i="45"/>
  <c r="H52" i="45" s="1"/>
  <c r="I62" i="86"/>
  <c r="F51" i="45"/>
  <c r="F52" i="45" s="1"/>
  <c r="F51" i="107"/>
  <c r="F52" i="107" s="1"/>
  <c r="D51" i="41"/>
  <c r="D52" i="41" s="1"/>
  <c r="I33" i="86"/>
  <c r="E33" i="107"/>
  <c r="Q32" i="107" s="1"/>
  <c r="M33" i="45"/>
  <c r="G33" i="86"/>
  <c r="I33" i="107"/>
  <c r="CR16" i="16"/>
  <c r="U55" i="53"/>
  <c r="V37" i="53" s="1"/>
  <c r="BU70" i="55"/>
  <c r="BP70" i="55"/>
  <c r="BF16" i="55"/>
  <c r="BT11" i="55"/>
  <c r="AG49" i="53"/>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V37" i="52" s="1"/>
  <c r="U83" i="57"/>
  <c r="D83" i="57" s="1"/>
  <c r="F112" i="57"/>
  <c r="W23" i="108"/>
  <c r="F23" i="108" s="1"/>
  <c r="AA53" i="53"/>
  <c r="J53" i="53" s="1"/>
  <c r="D82" i="58"/>
  <c r="W53" i="57"/>
  <c r="F53" i="57" s="1"/>
  <c r="W83" i="57"/>
  <c r="F83" i="57" s="1"/>
  <c r="W57" i="57"/>
  <c r="X43" i="57" s="1"/>
  <c r="G43" i="57"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U83" i="55"/>
  <c r="D83" i="55" s="1"/>
  <c r="BB50" i="52"/>
  <c r="N49" i="52"/>
  <c r="N79" i="108"/>
  <c r="BU42" i="53"/>
  <c r="N38" i="52"/>
  <c r="BU38" i="52"/>
  <c r="CS7" i="16"/>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P45" i="53"/>
  <c r="BU45" i="53"/>
  <c r="BT45" i="53"/>
  <c r="BU39" i="108"/>
  <c r="BT39" i="108"/>
  <c r="BP39" i="108"/>
  <c r="BU74" i="53"/>
  <c r="BB80" i="53"/>
  <c r="BP38" i="53"/>
  <c r="N19" i="53"/>
  <c r="BP15" i="52"/>
  <c r="BF80" i="57"/>
  <c r="BP69" i="52"/>
  <c r="BT67" i="52"/>
  <c r="BU11" i="53"/>
  <c r="BU38" i="53"/>
  <c r="BG72" i="53"/>
  <c r="BU72" i="53"/>
  <c r="BT47" i="52"/>
  <c r="BF42" i="53"/>
  <c r="BG11" i="55"/>
  <c r="BF8" i="108"/>
  <c r="BU8" i="108"/>
  <c r="BU10" i="108"/>
  <c r="BF10" i="108"/>
  <c r="BT10" i="108"/>
  <c r="BG47" i="53"/>
  <c r="BG40" i="108"/>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F76" i="55"/>
  <c r="BT78" i="55"/>
  <c r="BG10" i="57"/>
  <c r="BU10" i="57"/>
  <c r="BG15" i="57"/>
  <c r="BP15" i="57"/>
  <c r="BT15" i="57"/>
  <c r="BT40" i="57"/>
  <c r="BP40" i="57"/>
  <c r="BT42" i="57"/>
  <c r="BU42" i="57"/>
  <c r="BF44" i="57"/>
  <c r="BT44" i="57"/>
  <c r="BG44" i="57"/>
  <c r="BT67" i="57"/>
  <c r="BF69" i="57"/>
  <c r="BU69" i="57"/>
  <c r="BT76" i="57"/>
  <c r="BU76" i="57"/>
  <c r="BF78" i="57"/>
  <c r="BF105" i="57"/>
  <c r="BU105" i="57"/>
  <c r="BU10" i="58"/>
  <c r="BP12" i="58"/>
  <c r="BT17" i="58"/>
  <c r="BG37" i="58"/>
  <c r="BU39" i="58"/>
  <c r="BT44" i="58"/>
  <c r="BF44" i="58"/>
  <c r="BU44" i="58"/>
  <c r="BG44" i="58"/>
  <c r="BF46" i="58"/>
  <c r="BG71" i="58"/>
  <c r="BP71" i="58"/>
  <c r="BU71" i="58"/>
  <c r="BF71" i="58"/>
  <c r="BT71" i="58"/>
  <c r="BU73" i="58"/>
  <c r="BG73" i="58"/>
  <c r="BT73" i="58"/>
  <c r="BP73" i="58"/>
  <c r="BE76" i="58"/>
  <c r="N76" i="58"/>
  <c r="BF38" i="52"/>
  <c r="BT38" i="52"/>
  <c r="B60" i="84"/>
  <c r="E33" i="84"/>
  <c r="Q32" i="84" s="1"/>
  <c r="BE67" i="52"/>
  <c r="N67" i="52"/>
  <c r="BU13" i="55"/>
  <c r="BU78" i="52"/>
  <c r="BF69" i="53"/>
  <c r="BG42" i="53"/>
  <c r="N12" i="58"/>
  <c r="BE12" i="58"/>
  <c r="BE43" i="58"/>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V32" i="55"/>
  <c r="E32" i="55" s="1"/>
  <c r="D2" i="84"/>
  <c r="E8" i="91" s="1"/>
  <c r="D31" i="84"/>
  <c r="D60" i="84"/>
  <c r="BG12" i="52"/>
  <c r="BF12" i="52"/>
  <c r="AG109" i="57"/>
  <c r="G5" i="16"/>
  <c r="L22" i="41" s="1"/>
  <c r="L23" i="41" s="1"/>
  <c r="BU12" i="52"/>
  <c r="A3" i="63"/>
  <c r="BB50" i="55"/>
  <c r="AD61" i="55"/>
  <c r="M61" i="55" s="1"/>
  <c r="L1" i="84"/>
  <c r="Q6" i="91" s="1"/>
  <c r="Y82" i="55"/>
  <c r="Y83" i="55" s="1"/>
  <c r="H83" i="55" s="1"/>
  <c r="AT7" i="16"/>
  <c r="BE78" i="108"/>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U76" i="58"/>
  <c r="BV16" i="16"/>
  <c r="BF43" i="108"/>
  <c r="I34" i="58"/>
  <c r="E64" i="58"/>
  <c r="E4" i="58"/>
  <c r="N46" i="57"/>
  <c r="BE46" i="57"/>
  <c r="BE76" i="57"/>
  <c r="N76" i="57"/>
  <c r="BE47" i="58"/>
  <c r="N47" i="58"/>
  <c r="BF43" i="55"/>
  <c r="BT43" i="55"/>
  <c r="BG43" i="55"/>
  <c r="BT70" i="55"/>
  <c r="BF70" i="55"/>
  <c r="BT7" i="57"/>
  <c r="BF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U76" i="55" s="1"/>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N70" i="108"/>
  <c r="BT72" i="108"/>
  <c r="BF72" i="108"/>
  <c r="BP72" i="108"/>
  <c r="BE68" i="58"/>
  <c r="N68" i="58"/>
  <c r="W52" i="108"/>
  <c r="F52" i="108" s="1"/>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G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N13" i="57"/>
  <c r="CP9"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E46" i="52"/>
  <c r="BU46" i="52" s="1"/>
  <c r="BF10" i="52"/>
  <c r="BF41" i="52"/>
  <c r="BF68" i="52"/>
  <c r="BT75" i="52"/>
  <c r="BG68" i="53"/>
  <c r="BT38" i="58"/>
  <c r="BF43" i="58"/>
  <c r="BT45" i="58"/>
  <c r="BU18" i="58"/>
  <c r="BF73" i="108"/>
  <c r="V64" i="108"/>
  <c r="AH63" i="108" s="1"/>
  <c r="BF40" i="108"/>
  <c r="M49" i="111"/>
  <c r="M97" i="111"/>
  <c r="BF68" i="58"/>
  <c r="BF75" i="58"/>
  <c r="J112" i="57"/>
  <c r="BF45" i="52"/>
  <c r="BT9" i="53"/>
  <c r="BF13" i="53"/>
  <c r="BG18" i="53"/>
  <c r="BT76" i="53"/>
  <c r="M27" i="111"/>
  <c r="M91" i="111"/>
  <c r="BU14" i="55"/>
  <c r="F51" i="85"/>
  <c r="F52" i="85" s="1"/>
  <c r="BU77" i="53"/>
  <c r="BT67" i="58"/>
  <c r="M14" i="111"/>
  <c r="M9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U58" i="53"/>
  <c r="U85" i="108"/>
  <c r="D85" i="108" s="1"/>
  <c r="B16" i="58"/>
  <c r="W26" i="52"/>
  <c r="X10" i="52" s="1"/>
  <c r="G10" i="52" s="1"/>
  <c r="W88" i="52"/>
  <c r="F88" i="52"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Y25" i="52"/>
  <c r="Z7" i="52" s="1"/>
  <c r="I7" i="52" s="1"/>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Y28" i="52"/>
  <c r="Z16" i="52" s="1"/>
  <c r="I16" i="52"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AA25" i="52"/>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Y56" i="58"/>
  <c r="W28" i="52"/>
  <c r="X16" i="52" s="1"/>
  <c r="G16" i="52" s="1"/>
  <c r="Y27" i="52"/>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52"/>
  <c r="H26" i="52"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W26" i="55"/>
  <c r="X10" i="55" s="1"/>
  <c r="G10" i="55" s="1"/>
  <c r="W27" i="55"/>
  <c r="Y115" i="57"/>
  <c r="U27" i="55"/>
  <c r="W28" i="55"/>
  <c r="X16" i="55" s="1"/>
  <c r="G16" i="55" s="1"/>
  <c r="H112" i="57"/>
  <c r="U28" i="55"/>
  <c r="W88" i="58"/>
  <c r="Y116" i="57"/>
  <c r="Z100" i="57" s="1"/>
  <c r="I100" i="57" s="1"/>
  <c r="U26" i="55"/>
  <c r="D26" i="55" s="1"/>
  <c r="AA58" i="58"/>
  <c r="Y83" i="57"/>
  <c r="H83" i="57" s="1"/>
  <c r="W25" i="55"/>
  <c r="X7" i="55" s="1"/>
  <c r="AA53" i="58"/>
  <c r="J53" i="58" s="1"/>
  <c r="U117" i="57"/>
  <c r="V103" i="57" s="1"/>
  <c r="Y86" i="108"/>
  <c r="H22" i="52"/>
  <c r="D56" i="52"/>
  <c r="J22" i="52"/>
  <c r="AA27" i="52"/>
  <c r="AA23" i="52"/>
  <c r="J23" i="52" s="1"/>
  <c r="AA26" i="52"/>
  <c r="AA28" i="52"/>
  <c r="D22" i="52"/>
  <c r="U58" i="52"/>
  <c r="D112" i="57"/>
  <c r="U28" i="52"/>
  <c r="AA26" i="108"/>
  <c r="U53" i="52"/>
  <c r="D53" i="52" s="1"/>
  <c r="AE85" i="52"/>
  <c r="AC116" i="57"/>
  <c r="U113" i="57"/>
  <c r="D113" i="57" s="1"/>
  <c r="AA23" i="108"/>
  <c r="J23" i="108" s="1"/>
  <c r="AE88" i="52"/>
  <c r="AF76" i="52" s="1"/>
  <c r="AC117" i="57"/>
  <c r="AC113" i="57"/>
  <c r="L113" i="57" s="1"/>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A5" i="16"/>
  <c r="V64" i="53"/>
  <c r="AH63" i="53" s="1"/>
  <c r="AG9" i="16"/>
  <c r="E62" i="107"/>
  <c r="Q61" i="107" s="1"/>
  <c r="H80" i="107"/>
  <c r="H81" i="107" s="1"/>
  <c r="G62" i="45"/>
  <c r="E62" i="45"/>
  <c r="Q61" i="45" s="1"/>
  <c r="D80" i="45"/>
  <c r="D81" i="45" s="1"/>
  <c r="F80" i="45"/>
  <c r="F81" i="45" s="1"/>
  <c r="M2" i="111"/>
  <c r="M9" i="111"/>
  <c r="M10" i="111"/>
  <c r="M15" i="111"/>
  <c r="M18" i="111"/>
  <c r="M8" i="111"/>
  <c r="M7" i="111"/>
  <c r="M12" i="111"/>
  <c r="M19" i="111"/>
  <c r="M3" i="111"/>
  <c r="M13" i="111"/>
  <c r="M17" i="111"/>
  <c r="M5" i="111"/>
  <c r="M33" i="111"/>
  <c r="F80" i="107"/>
  <c r="F81" i="107" s="1"/>
  <c r="J80" i="107"/>
  <c r="J81" i="107" s="1"/>
  <c r="D80" i="107"/>
  <c r="D81" i="107" s="1"/>
  <c r="B46" i="55"/>
  <c r="CS16" i="16"/>
  <c r="M62" i="111"/>
  <c r="M60" i="111"/>
  <c r="M16" i="111"/>
  <c r="AB64" i="58"/>
  <c r="M71" i="111"/>
  <c r="AD64" i="58"/>
  <c r="M62" i="86"/>
  <c r="AA22" i="53"/>
  <c r="M39" i="111"/>
  <c r="M63" i="111"/>
  <c r="M104" i="111"/>
  <c r="BF80" i="58"/>
  <c r="CT7" i="16"/>
  <c r="CX7" i="16" s="1"/>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V12" i="108" s="1"/>
  <c r="BT44" i="108"/>
  <c r="BG44" i="108"/>
  <c r="BF45" i="108"/>
  <c r="BU45" i="108"/>
  <c r="BG45" i="108"/>
  <c r="BU48" i="108"/>
  <c r="BT48" i="108"/>
  <c r="BF48" i="108"/>
  <c r="AH9" i="16"/>
  <c r="BT45" i="108"/>
  <c r="BP7" i="52"/>
  <c r="BG7" i="52"/>
  <c r="X34" i="57"/>
  <c r="BV9" i="16"/>
  <c r="G33" i="85"/>
  <c r="G4" i="45"/>
  <c r="BB80" i="57"/>
  <c r="N79" i="57"/>
  <c r="AC53" i="53"/>
  <c r="L53" i="53" s="1"/>
  <c r="L52" i="53"/>
  <c r="DJ7" i="16"/>
  <c r="DJ9" i="16" s="1"/>
  <c r="BO6" i="16"/>
  <c r="BP48" i="108"/>
  <c r="N10" i="98"/>
  <c r="O10" i="98" s="1"/>
  <c r="AC57" i="58"/>
  <c r="BT100" i="57"/>
  <c r="BG100" i="57"/>
  <c r="BP100" i="57"/>
  <c r="BU9" i="58"/>
  <c r="BG9" i="58"/>
  <c r="N7" i="98" s="1"/>
  <c r="O7" i="98" s="1"/>
  <c r="BU12" i="58"/>
  <c r="BT12" i="58"/>
  <c r="BG12" i="58"/>
  <c r="AC22" i="52"/>
  <c r="H5" i="16"/>
  <c r="W23" i="55"/>
  <c r="F23" i="55" s="1"/>
  <c r="F22" i="55"/>
  <c r="M11" i="111"/>
  <c r="X64" i="58"/>
  <c r="G62" i="86"/>
  <c r="Y55" i="53"/>
  <c r="Y57" i="53"/>
  <c r="Y58" i="53"/>
  <c r="H52" i="53"/>
  <c r="J22" i="107"/>
  <c r="J23" i="107" s="1"/>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F80" i="108" s="1"/>
  <c r="BT45" i="55"/>
  <c r="BF45" i="55"/>
  <c r="BB16" i="16"/>
  <c r="BF15" i="108"/>
  <c r="BG15" i="108"/>
  <c r="N5" i="111" s="1"/>
  <c r="O5" i="111" s="1"/>
  <c r="E4" i="85"/>
  <c r="Q3" i="85" s="1"/>
  <c r="D80" i="41"/>
  <c r="D81" i="41" s="1"/>
  <c r="J22" i="41"/>
  <c r="J23"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E67" i="58"/>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T47" i="58"/>
  <c r="BG72" i="58"/>
  <c r="BT72" i="58"/>
  <c r="BU72" i="58"/>
  <c r="BP47" i="108"/>
  <c r="BT41" i="58"/>
  <c r="BF41" i="58"/>
  <c r="BU41" i="58"/>
  <c r="N73" i="55"/>
  <c r="BE73" i="55"/>
  <c r="BU73" i="55" s="1"/>
  <c r="BU100" i="57"/>
  <c r="BF100" i="57"/>
  <c r="BG102" i="57"/>
  <c r="BT107" i="57"/>
  <c r="BU7" i="58"/>
  <c r="BP9" i="58"/>
  <c r="N11" i="55"/>
  <c r="BP98" i="57"/>
  <c r="N38" i="55"/>
  <c r="N8" i="52"/>
  <c r="BE12" i="57"/>
  <c r="B61" i="85"/>
  <c r="H28" i="52" l="1"/>
  <c r="BF20" i="57"/>
  <c r="BF50" i="57"/>
  <c r="BQ43" i="57"/>
  <c r="H88" i="58"/>
  <c r="BF50" i="53"/>
  <c r="BB50" i="57"/>
  <c r="N49" i="57"/>
  <c r="BV39" i="52"/>
  <c r="BW39" i="52" s="1"/>
  <c r="I4" i="58"/>
  <c r="BQ8" i="108"/>
  <c r="M33" i="86"/>
  <c r="AD4" i="55"/>
  <c r="M4" i="84"/>
  <c r="L5" i="16"/>
  <c r="CX6" i="16"/>
  <c r="V34" i="58"/>
  <c r="AH33" i="58" s="1"/>
  <c r="G34" i="53"/>
  <c r="I4" i="85"/>
  <c r="I4" i="84"/>
  <c r="Z4" i="55"/>
  <c r="M75" i="111"/>
  <c r="M57" i="111"/>
  <c r="AB4" i="108"/>
  <c r="K4" i="107"/>
  <c r="BQ77" i="53"/>
  <c r="BQ39" i="108"/>
  <c r="AB4" i="55"/>
  <c r="K4" i="84"/>
  <c r="E4" i="84"/>
  <c r="Q3" i="84" s="1"/>
  <c r="V4" i="55"/>
  <c r="AH3" i="55" s="1"/>
  <c r="BJ5" i="16"/>
  <c r="BA9" i="16"/>
  <c r="E33" i="86"/>
  <c r="Q32" i="86" s="1"/>
  <c r="AD4" i="108"/>
  <c r="M4" i="107"/>
  <c r="O4" i="84"/>
  <c r="AF4" i="55"/>
  <c r="I4" i="107"/>
  <c r="Z4" i="108"/>
  <c r="AA82" i="58"/>
  <c r="J80" i="86"/>
  <c r="J81" i="86" s="1"/>
  <c r="Y59" i="58"/>
  <c r="Z49" i="58" s="1"/>
  <c r="I49" i="58" s="1"/>
  <c r="W88" i="55"/>
  <c r="X76" i="55" s="1"/>
  <c r="G76" i="55" s="1"/>
  <c r="D55" i="52"/>
  <c r="W83" i="55"/>
  <c r="F83" i="55" s="1"/>
  <c r="W85" i="55"/>
  <c r="F85" i="55" s="1"/>
  <c r="Y85" i="55"/>
  <c r="Z67" i="55" s="1"/>
  <c r="I67" i="55" s="1"/>
  <c r="Y86" i="55"/>
  <c r="H86" i="55" s="1"/>
  <c r="Y87" i="55"/>
  <c r="H87" i="55" s="1"/>
  <c r="H86" i="58"/>
  <c r="W87" i="55"/>
  <c r="X73" i="55" s="1"/>
  <c r="G73" i="55" s="1"/>
  <c r="E37" i="53"/>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A9" i="16"/>
  <c r="BB20" i="57"/>
  <c r="N19" i="57"/>
  <c r="M103" i="111"/>
  <c r="M101" i="111"/>
  <c r="M76" i="111"/>
  <c r="BQ72" i="55"/>
  <c r="BF20" i="55"/>
  <c r="M67" i="111"/>
  <c r="M79" i="111"/>
  <c r="M32" i="111"/>
  <c r="BY5"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AF50" i="58" s="1"/>
  <c r="U59" i="55"/>
  <c r="V49" i="55" s="1"/>
  <c r="E49" i="55" s="1"/>
  <c r="Y89" i="57"/>
  <c r="H89" i="57" s="1"/>
  <c r="U89" i="52"/>
  <c r="D89" i="52" s="1"/>
  <c r="H58" i="58"/>
  <c r="H25" i="52"/>
  <c r="Z16" i="55"/>
  <c r="I16" i="55" s="1"/>
  <c r="D25" i="58"/>
  <c r="F86" i="55"/>
  <c r="U59" i="108"/>
  <c r="D59" i="108"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Y29" i="52"/>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V46" i="55"/>
  <c r="E46" i="55" s="1"/>
  <c r="W29" i="58"/>
  <c r="F29" i="58" s="1"/>
  <c r="AD76" i="57"/>
  <c r="M76" i="57" s="1"/>
  <c r="Z13" i="52"/>
  <c r="I13" i="52" s="1"/>
  <c r="H27" i="52"/>
  <c r="AB67" i="57"/>
  <c r="K67" i="57" s="1"/>
  <c r="J85" i="57"/>
  <c r="V46" i="53"/>
  <c r="E46" i="53" s="1"/>
  <c r="D58" i="53"/>
  <c r="F56" i="53"/>
  <c r="L85" i="52"/>
  <c r="AD67" i="52"/>
  <c r="M67" i="52" s="1"/>
  <c r="Z10" i="52"/>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J25" i="52"/>
  <c r="AB7" i="52"/>
  <c r="K7" i="52"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F27" i="55"/>
  <c r="X13" i="55"/>
  <c r="V13" i="55"/>
  <c r="E13" i="55" s="1"/>
  <c r="D27" i="55"/>
  <c r="W29" i="55"/>
  <c r="F29" i="55" s="1"/>
  <c r="F25" i="55"/>
  <c r="Y119" i="57"/>
  <c r="H119" i="57" s="1"/>
  <c r="AB46" i="58"/>
  <c r="AA59" i="58"/>
  <c r="H86" i="108"/>
  <c r="Z70" i="108"/>
  <c r="I70" i="108" s="1"/>
  <c r="AF50" i="53"/>
  <c r="J58" i="58"/>
  <c r="AB79" i="52"/>
  <c r="J89" i="52"/>
  <c r="L89" i="52"/>
  <c r="AD79" i="52"/>
  <c r="M79" i="52" s="1"/>
  <c r="G7" i="55"/>
  <c r="J89" i="57"/>
  <c r="AB79" i="57"/>
  <c r="D119" i="57"/>
  <c r="V109" i="57"/>
  <c r="M70" i="52"/>
  <c r="AF80" i="57"/>
  <c r="X79" i="57"/>
  <c r="F89" i="57"/>
  <c r="V46" i="52"/>
  <c r="E46" i="52" s="1"/>
  <c r="D58" i="52"/>
  <c r="V43" i="52"/>
  <c r="D57" i="52"/>
  <c r="AD103" i="57"/>
  <c r="M103" i="57" s="1"/>
  <c r="L117" i="57"/>
  <c r="AB16" i="52"/>
  <c r="K16" i="52" s="1"/>
  <c r="J28" i="52"/>
  <c r="G16" i="108"/>
  <c r="X109" i="57"/>
  <c r="F119" i="57"/>
  <c r="J28" i="108"/>
  <c r="AB16" i="108"/>
  <c r="K16" i="108" s="1"/>
  <c r="AA29" i="108"/>
  <c r="J26" i="108"/>
  <c r="AB10" i="108"/>
  <c r="AB10" i="52"/>
  <c r="J26" i="52"/>
  <c r="AA29" i="52"/>
  <c r="AB13" i="52"/>
  <c r="K13" i="52" s="1"/>
  <c r="J27" i="52"/>
  <c r="L116" i="57"/>
  <c r="AD100" i="57"/>
  <c r="U29" i="52"/>
  <c r="V16" i="52"/>
  <c r="D28" i="52"/>
  <c r="U59" i="52"/>
  <c r="X80" i="52"/>
  <c r="G80" i="52" s="1"/>
  <c r="AF67" i="52"/>
  <c r="AE89" i="52"/>
  <c r="AF79" i="52"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BQ42" i="55"/>
  <c r="BF110" i="57"/>
  <c r="N4" i="97"/>
  <c r="O4" i="97" s="1"/>
  <c r="N8" i="98"/>
  <c r="O8" i="98" s="1"/>
  <c r="M18" i="96"/>
  <c r="N7" i="111"/>
  <c r="O7" i="111" s="1"/>
  <c r="N11" i="97"/>
  <c r="BQ70" i="108"/>
  <c r="BQ77" i="108"/>
  <c r="N18" i="97"/>
  <c r="O18" i="97" s="1"/>
  <c r="BQ72" i="57"/>
  <c r="N100" i="97"/>
  <c r="G62" i="107"/>
  <c r="N7" i="97"/>
  <c r="N9" i="97"/>
  <c r="BQ75" i="108"/>
  <c r="N64" i="97"/>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L22" i="52"/>
  <c r="AC23" i="52"/>
  <c r="L23" i="52" s="1"/>
  <c r="AC26" i="52"/>
  <c r="AC27" i="52"/>
  <c r="AC25" i="52"/>
  <c r="AC28" i="52"/>
  <c r="BQ48" i="108"/>
  <c r="M20" i="96"/>
  <c r="X37" i="52"/>
  <c r="F55" i="52"/>
  <c r="W59" i="52"/>
  <c r="N12" i="111"/>
  <c r="O12" i="111" s="1"/>
  <c r="M4" i="86"/>
  <c r="CS9" i="16"/>
  <c r="AD4" i="58"/>
  <c r="N20" i="97"/>
  <c r="N10" i="97"/>
  <c r="O10" i="97" s="1"/>
  <c r="BQ17" i="108"/>
  <c r="N89" i="95"/>
  <c r="N12" i="95"/>
  <c r="O12" i="95" s="1"/>
  <c r="N25" i="97"/>
  <c r="N98" i="97"/>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AE22" i="52"/>
  <c r="N22" i="41"/>
  <c r="N23" i="41" s="1"/>
  <c r="CT16" i="16"/>
  <c r="CX16" i="16" s="1"/>
  <c r="CX5" i="16"/>
  <c r="CX12" i="16"/>
  <c r="BF50" i="58"/>
  <c r="BQ38" i="55"/>
  <c r="M4" i="97"/>
  <c r="M3" i="96"/>
  <c r="N18" i="111"/>
  <c r="O18" i="111" s="1"/>
  <c r="N6" i="111"/>
  <c r="O6" i="111" s="1"/>
  <c r="N19" i="97"/>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BV72" i="58"/>
  <c r="N7" i="96"/>
  <c r="N15" i="96"/>
  <c r="O15" i="96" s="1"/>
  <c r="N8" i="96"/>
  <c r="O8" i="96" s="1"/>
  <c r="N13" i="96"/>
  <c r="O13" i="96" s="1"/>
  <c r="N6" i="96"/>
  <c r="N3" i="96"/>
  <c r="O3" i="96" s="1"/>
  <c r="N14" i="96"/>
  <c r="O14" i="96" s="1"/>
  <c r="N17" i="96"/>
  <c r="O17" i="96" s="1"/>
  <c r="N19" i="96"/>
  <c r="O19" i="96" s="1"/>
  <c r="N10" i="96"/>
  <c r="N12" i="96"/>
  <c r="O12" i="96" s="1"/>
  <c r="N11" i="96"/>
  <c r="N20" i="96"/>
  <c r="N95" i="96"/>
  <c r="O95" i="96" s="1"/>
  <c r="N70" i="96"/>
  <c r="N64" i="96"/>
  <c r="N33" i="96"/>
  <c r="N22" i="96"/>
  <c r="N36" i="96"/>
  <c r="N58" i="96"/>
  <c r="N79" i="96"/>
  <c r="N9" i="96"/>
  <c r="N2" i="96"/>
  <c r="N18" i="96"/>
  <c r="O18" i="96" s="1"/>
  <c r="N5" i="96"/>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O49" i="96" s="1"/>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O66" i="96" s="1"/>
  <c r="N73" i="96"/>
  <c r="N45" i="96"/>
  <c r="N86" i="96"/>
  <c r="BV38" i="55"/>
  <c r="Z46" i="53"/>
  <c r="H58" i="53"/>
  <c r="N14" i="98"/>
  <c r="O14" i="98" s="1"/>
  <c r="N76" i="98"/>
  <c r="O76" i="98" s="1"/>
  <c r="N12" i="98"/>
  <c r="O12" i="98" s="1"/>
  <c r="N5" i="98"/>
  <c r="O5" i="98" s="1"/>
  <c r="N57" i="98"/>
  <c r="O57" i="98" s="1"/>
  <c r="N90" i="98"/>
  <c r="O90" i="98" s="1"/>
  <c r="N59" i="98"/>
  <c r="O59" i="98" s="1"/>
  <c r="N87" i="98"/>
  <c r="O87" i="98" s="1"/>
  <c r="N93" i="98"/>
  <c r="O93" i="98" s="1"/>
  <c r="N45" i="98"/>
  <c r="O45" i="98" s="1"/>
  <c r="N11" i="98"/>
  <c r="O11" i="98" s="1"/>
  <c r="N82" i="98"/>
  <c r="O82" i="98" s="1"/>
  <c r="N56" i="98"/>
  <c r="O56" i="98" s="1"/>
  <c r="N84" i="98"/>
  <c r="O84" i="98" s="1"/>
  <c r="N67" i="98"/>
  <c r="O67" i="98" s="1"/>
  <c r="N100" i="98"/>
  <c r="O100" i="98" s="1"/>
  <c r="N17" i="98"/>
  <c r="O17" i="98" s="1"/>
  <c r="N58" i="98"/>
  <c r="O58" i="98" s="1"/>
  <c r="N96" i="98"/>
  <c r="O96" i="98" s="1"/>
  <c r="N91" i="98"/>
  <c r="O91" i="98" s="1"/>
  <c r="N69" i="98"/>
  <c r="O69" i="98" s="1"/>
  <c r="N47" i="98"/>
  <c r="O47" i="98" s="1"/>
  <c r="N13" i="98"/>
  <c r="O13" i="98" s="1"/>
  <c r="N18" i="98"/>
  <c r="O18" i="98" s="1"/>
  <c r="N99" i="98"/>
  <c r="O99" i="98" s="1"/>
  <c r="N6" i="98"/>
  <c r="O6" i="98" s="1"/>
  <c r="N98" i="98"/>
  <c r="O98" i="98" s="1"/>
  <c r="N2" i="98"/>
  <c r="O2" i="98" s="1"/>
  <c r="N20" i="98"/>
  <c r="O20" i="98" s="1"/>
  <c r="N19" i="98"/>
  <c r="O19" i="98" s="1"/>
  <c r="N4" i="98"/>
  <c r="O4" i="98" s="1"/>
  <c r="N15" i="98"/>
  <c r="O15" i="98" s="1"/>
  <c r="N16" i="98"/>
  <c r="O16" i="98" s="1"/>
  <c r="N9" i="98"/>
  <c r="O9" i="98" s="1"/>
  <c r="N103" i="98"/>
  <c r="O103" i="98" s="1"/>
  <c r="N46" i="98"/>
  <c r="O46" i="98" s="1"/>
  <c r="N21" i="98"/>
  <c r="O21" i="98" s="1"/>
  <c r="N24" i="98"/>
  <c r="O24" i="98" s="1"/>
  <c r="N61" i="98"/>
  <c r="O61" i="98" s="1"/>
  <c r="N35" i="98"/>
  <c r="O35" i="98" s="1"/>
  <c r="N64" i="98"/>
  <c r="O64" i="98" s="1"/>
  <c r="N86" i="98"/>
  <c r="O86" i="98" s="1"/>
  <c r="N83" i="98"/>
  <c r="O83" i="98" s="1"/>
  <c r="N72" i="98"/>
  <c r="O72" i="98" s="1"/>
  <c r="N71" i="98"/>
  <c r="O71" i="98" s="1"/>
  <c r="N43" i="98"/>
  <c r="O43" i="98" s="1"/>
  <c r="N30" i="98"/>
  <c r="O30" i="98" s="1"/>
  <c r="N55" i="98"/>
  <c r="O55" i="98" s="1"/>
  <c r="N77" i="98"/>
  <c r="O77" i="98" s="1"/>
  <c r="N60" i="98"/>
  <c r="O60" i="98" s="1"/>
  <c r="N22" i="98"/>
  <c r="O22" i="98" s="1"/>
  <c r="N66" i="98"/>
  <c r="O66" i="98" s="1"/>
  <c r="N53" i="98"/>
  <c r="O53" i="98" s="1"/>
  <c r="N3" i="98"/>
  <c r="O3" i="98" s="1"/>
  <c r="N74" i="98"/>
  <c r="O74" i="98" s="1"/>
  <c r="N75" i="98"/>
  <c r="O75" i="98" s="1"/>
  <c r="N63" i="98"/>
  <c r="O63" i="98" s="1"/>
  <c r="N78" i="98"/>
  <c r="O78" i="98" s="1"/>
  <c r="N31" i="98"/>
  <c r="O31" i="98" s="1"/>
  <c r="N104" i="98"/>
  <c r="O104" i="98" s="1"/>
  <c r="N94" i="98"/>
  <c r="O94" i="98" s="1"/>
  <c r="N27" i="98"/>
  <c r="O27" i="98" s="1"/>
  <c r="N26" i="98"/>
  <c r="O26" i="98" s="1"/>
  <c r="N33" i="98"/>
  <c r="O33" i="98" s="1"/>
  <c r="N44" i="98"/>
  <c r="O44" i="98" s="1"/>
  <c r="N95" i="98"/>
  <c r="O95" i="98" s="1"/>
  <c r="N50" i="98"/>
  <c r="O50" i="98" s="1"/>
  <c r="N37" i="98"/>
  <c r="O37" i="98" s="1"/>
  <c r="N88" i="98"/>
  <c r="O88" i="98" s="1"/>
  <c r="N39" i="98"/>
  <c r="O39" i="98" s="1"/>
  <c r="N80" i="98"/>
  <c r="O80" i="98" s="1"/>
  <c r="N40" i="98"/>
  <c r="O40" i="98" s="1"/>
  <c r="N97" i="98"/>
  <c r="O97" i="98" s="1"/>
  <c r="N41" i="98"/>
  <c r="O41" i="98" s="1"/>
  <c r="N38" i="98"/>
  <c r="O38" i="98" s="1"/>
  <c r="N89" i="98"/>
  <c r="O89" i="98" s="1"/>
  <c r="N36" i="98"/>
  <c r="O36" i="98" s="1"/>
  <c r="N62" i="98"/>
  <c r="O62" i="98" s="1"/>
  <c r="N102" i="98"/>
  <c r="O102" i="98" s="1"/>
  <c r="N25" i="98"/>
  <c r="O25" i="98" s="1"/>
  <c r="N68" i="98"/>
  <c r="O68" i="98" s="1"/>
  <c r="N54" i="98"/>
  <c r="O54" i="98" s="1"/>
  <c r="N85" i="98"/>
  <c r="O85" i="98" s="1"/>
  <c r="N101" i="98"/>
  <c r="O101" i="98" s="1"/>
  <c r="N81" i="98"/>
  <c r="O81" i="98" s="1"/>
  <c r="N51" i="98"/>
  <c r="O51" i="98" s="1"/>
  <c r="N92" i="98"/>
  <c r="O92" i="98" s="1"/>
  <c r="N49" i="98"/>
  <c r="O49" i="98" s="1"/>
  <c r="N73" i="98"/>
  <c r="O73" i="98" s="1"/>
  <c r="N42" i="98"/>
  <c r="O42" i="98" s="1"/>
  <c r="N52" i="98"/>
  <c r="O52" i="98" s="1"/>
  <c r="N48" i="98"/>
  <c r="O48" i="98" s="1"/>
  <c r="N32" i="98"/>
  <c r="O32" i="98" s="1"/>
  <c r="N28" i="98"/>
  <c r="O28" i="98" s="1"/>
  <c r="N29" i="98"/>
  <c r="O29" i="98" s="1"/>
  <c r="N23" i="98"/>
  <c r="O23" i="98" s="1"/>
  <c r="N34" i="98"/>
  <c r="O34" i="98" s="1"/>
  <c r="N70" i="98"/>
  <c r="O70" i="98" s="1"/>
  <c r="N65" i="98"/>
  <c r="O65" i="98" s="1"/>
  <c r="N79" i="98"/>
  <c r="O79" i="98" s="1"/>
  <c r="N10" i="111"/>
  <c r="O10" i="111" s="1"/>
  <c r="N5" i="97"/>
  <c r="O5" i="97" s="1"/>
  <c r="BQ13" i="108"/>
  <c r="N81" i="95"/>
  <c r="N43" i="95"/>
  <c r="N71" i="97"/>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BQ18" i="55"/>
  <c r="H55" i="53"/>
  <c r="Z37" i="53"/>
  <c r="Y59" i="53"/>
  <c r="BQ100" i="57"/>
  <c r="L51" i="85"/>
  <c r="L52" i="85" s="1"/>
  <c r="BP6" i="16"/>
  <c r="AC52" i="57"/>
  <c r="M15" i="96"/>
  <c r="N3" i="111"/>
  <c r="O3" i="111" s="1"/>
  <c r="N6" i="97"/>
  <c r="O6" i="97" s="1"/>
  <c r="BQ46" i="108"/>
  <c r="N15" i="95"/>
  <c r="O15" i="95" s="1"/>
  <c r="N90" i="97"/>
  <c r="O90" i="97" s="1"/>
  <c r="N8" i="97"/>
  <c r="BQ71" i="108"/>
  <c r="N14" i="97"/>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O13" i="97" s="1"/>
  <c r="BQ16" i="108"/>
  <c r="N69" i="97"/>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K16" i="16"/>
  <c r="DK7" i="16"/>
  <c r="N13" i="111"/>
  <c r="O13" i="111" s="1"/>
  <c r="E103" i="57"/>
  <c r="N29" i="111"/>
  <c r="O29" i="111" s="1"/>
  <c r="N4" i="111"/>
  <c r="O4" i="111" s="1"/>
  <c r="AB5" i="16"/>
  <c r="AF5" i="16" s="1"/>
  <c r="AC22" i="53"/>
  <c r="L22" i="45"/>
  <c r="L23" i="45" s="1"/>
  <c r="BQ76" i="53"/>
  <c r="BQ45" i="10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N79" i="97"/>
  <c r="O79" i="97" s="1"/>
  <c r="N58" i="97"/>
  <c r="O58" i="97" s="1"/>
  <c r="N42" i="97"/>
  <c r="O42" i="97" s="1"/>
  <c r="N51" i="97"/>
  <c r="O51" i="97" s="1"/>
  <c r="N55" i="97"/>
  <c r="O55" i="97" s="1"/>
  <c r="N84" i="97"/>
  <c r="O84" i="97" s="1"/>
  <c r="N35" i="97"/>
  <c r="O35" i="97" s="1"/>
  <c r="N36" i="97"/>
  <c r="O36" i="97" s="1"/>
  <c r="N91" i="97"/>
  <c r="O91" i="97" s="1"/>
  <c r="N94" i="97"/>
  <c r="N81" i="97"/>
  <c r="N29" i="97"/>
  <c r="O29" i="97" s="1"/>
  <c r="N34" i="97"/>
  <c r="O34" i="97" s="1"/>
  <c r="N39" i="97"/>
  <c r="O39" i="97" s="1"/>
  <c r="N73" i="97"/>
  <c r="O73" i="97" s="1"/>
  <c r="N77" i="97"/>
  <c r="O77" i="97" s="1"/>
  <c r="N88" i="97"/>
  <c r="O88" i="97" s="1"/>
  <c r="N50" i="97"/>
  <c r="O50" i="97" s="1"/>
  <c r="N45" i="97"/>
  <c r="N40" i="97"/>
  <c r="N70" i="97"/>
  <c r="O70" i="97" s="1"/>
  <c r="N41" i="97"/>
  <c r="N95" i="97"/>
  <c r="O95" i="97" s="1"/>
  <c r="N93" i="97"/>
  <c r="O93" i="97" s="1"/>
  <c r="N96" i="97"/>
  <c r="O96" i="97" s="1"/>
  <c r="N80" i="97"/>
  <c r="O80" i="97" s="1"/>
  <c r="N101" i="97"/>
  <c r="O101" i="97" s="1"/>
  <c r="N85" i="97"/>
  <c r="O85" i="97" s="1"/>
  <c r="N97" i="97"/>
  <c r="O97" i="97" s="1"/>
  <c r="N27" i="97"/>
  <c r="O27" i="97" s="1"/>
  <c r="N62" i="97"/>
  <c r="O62" i="97" s="1"/>
  <c r="N38" i="97"/>
  <c r="O38" i="97" s="1"/>
  <c r="N48" i="97"/>
  <c r="N37" i="97"/>
  <c r="N83" i="97"/>
  <c r="N89" i="97"/>
  <c r="N46" i="97"/>
  <c r="O46" i="97" s="1"/>
  <c r="N47" i="97"/>
  <c r="O47" i="97" s="1"/>
  <c r="N21" i="97"/>
  <c r="O21" i="97" s="1"/>
  <c r="N54" i="97"/>
  <c r="O54" i="97" s="1"/>
  <c r="N99" i="97"/>
  <c r="O99" i="97" s="1"/>
  <c r="N57" i="97"/>
  <c r="O57" i="97" s="1"/>
  <c r="N28" i="97"/>
  <c r="O28" i="97" s="1"/>
  <c r="N43" i="97"/>
  <c r="N61" i="97"/>
  <c r="O61" i="97" s="1"/>
  <c r="N72" i="97"/>
  <c r="N31" i="97"/>
  <c r="O31" i="97" s="1"/>
  <c r="N86" i="97"/>
  <c r="O86" i="97" s="1"/>
  <c r="N30" i="97"/>
  <c r="O30" i="97" s="1"/>
  <c r="N23" i="97"/>
  <c r="O23" i="97" s="1"/>
  <c r="N22" i="97"/>
  <c r="O22" i="97" s="1"/>
  <c r="N33" i="97"/>
  <c r="N63" i="97"/>
  <c r="O63" i="97" s="1"/>
  <c r="N60" i="97"/>
  <c r="N32" i="97"/>
  <c r="N52" i="97"/>
  <c r="O52" i="97" s="1"/>
  <c r="N68" i="97"/>
  <c r="O68" i="97" s="1"/>
  <c r="N65" i="97"/>
  <c r="N104" i="97"/>
  <c r="O104" i="97" s="1"/>
  <c r="N49" i="97"/>
  <c r="N67" i="97"/>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V68" i="108"/>
  <c r="BV41" i="108"/>
  <c r="BV15" i="108"/>
  <c r="BV42" i="108"/>
  <c r="BV9" i="108"/>
  <c r="BV40" i="108"/>
  <c r="D57" i="58"/>
  <c r="V43" i="58"/>
  <c r="U59" i="58"/>
  <c r="I70"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O14" i="88" s="1"/>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O14" i="97" l="1"/>
  <c r="O19" i="97"/>
  <c r="O16" i="97"/>
  <c r="O9" i="97"/>
  <c r="O8" i="97"/>
  <c r="O7" i="97"/>
  <c r="O11" i="97"/>
  <c r="O60" i="97"/>
  <c r="O33" i="97"/>
  <c r="O100" i="97"/>
  <c r="O49" i="97"/>
  <c r="O89" i="97"/>
  <c r="O81" i="97"/>
  <c r="O41" i="97"/>
  <c r="O67" i="97"/>
  <c r="O24" i="97"/>
  <c r="O83" i="97"/>
  <c r="O98" i="97"/>
  <c r="O92" i="97"/>
  <c r="O65" i="97"/>
  <c r="O72" i="97"/>
  <c r="O37" i="97"/>
  <c r="O94" i="97"/>
  <c r="O25" i="97"/>
  <c r="O48" i="97"/>
  <c r="O43" i="97"/>
  <c r="O40" i="97"/>
  <c r="O69" i="97"/>
  <c r="O64" i="97"/>
  <c r="O45" i="97"/>
  <c r="O32" i="97"/>
  <c r="O71" i="97"/>
  <c r="O20" i="97"/>
  <c r="BW10" i="108"/>
  <c r="AA86" i="58"/>
  <c r="J82" i="58"/>
  <c r="AA85" i="58"/>
  <c r="AA83" i="58"/>
  <c r="J83" i="58" s="1"/>
  <c r="AA88" i="58"/>
  <c r="AA87" i="58"/>
  <c r="AC82" i="58"/>
  <c r="L80" i="107"/>
  <c r="L81" i="107" s="1"/>
  <c r="L80" i="86"/>
  <c r="L81" i="86" s="1"/>
  <c r="X20" i="108"/>
  <c r="G20" i="108" s="1"/>
  <c r="F88" i="55"/>
  <c r="H59" i="58"/>
  <c r="AD20" i="108"/>
  <c r="M20" i="108" s="1"/>
  <c r="X67" i="55"/>
  <c r="G67" i="55" s="1"/>
  <c r="H85" i="55"/>
  <c r="Z73" i="55"/>
  <c r="I73" i="55" s="1"/>
  <c r="Z70" i="55"/>
  <c r="I70" i="55" s="1"/>
  <c r="W89" i="55"/>
  <c r="X79" i="55" s="1"/>
  <c r="G79" i="55" s="1"/>
  <c r="F87" i="55"/>
  <c r="O2" i="96"/>
  <c r="O5" i="96"/>
  <c r="O4" i="96"/>
  <c r="O9" i="96"/>
  <c r="O10" i="96"/>
  <c r="O7" i="96"/>
  <c r="O11" i="96"/>
  <c r="O102" i="96"/>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K76" i="108" s="1"/>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I43" i="57" s="1"/>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5" i="16" s="1"/>
  <c r="CD12" i="16"/>
  <c r="AC83" i="108"/>
  <c r="L83" i="108" s="1"/>
  <c r="AC88" i="108"/>
  <c r="AC85" i="108"/>
  <c r="L82" i="108"/>
  <c r="AC86" i="108"/>
  <c r="AC87" i="108"/>
  <c r="AD4" i="57"/>
  <c r="M4" i="85"/>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V19" i="53"/>
  <c r="V20" i="53" s="1"/>
  <c r="E20" i="53" s="1"/>
  <c r="V79" i="55"/>
  <c r="E79" i="55" s="1"/>
  <c r="X79" i="52"/>
  <c r="G79" i="52" s="1"/>
  <c r="AH103" i="57"/>
  <c r="O103" i="57" s="1"/>
  <c r="V79" i="57"/>
  <c r="E79" i="57" s="1"/>
  <c r="Z109" i="57"/>
  <c r="I109" i="57" s="1"/>
  <c r="F29" i="52"/>
  <c r="AH73" i="57"/>
  <c r="O73" i="57" s="1"/>
  <c r="P90" i="111"/>
  <c r="P59" i="111"/>
  <c r="P70" i="98"/>
  <c r="Z19" i="108"/>
  <c r="I19" i="108" s="1"/>
  <c r="AH70" i="52"/>
  <c r="O70" i="52" s="1"/>
  <c r="AD109" i="57"/>
  <c r="M109" i="57" s="1"/>
  <c r="AH16" i="108"/>
  <c r="O16" i="108" s="1"/>
  <c r="AD80" i="52"/>
  <c r="M80" i="52" s="1"/>
  <c r="V19" i="57"/>
  <c r="E19" i="57" s="1"/>
  <c r="E73" i="52"/>
  <c r="AH73" i="52"/>
  <c r="O73" i="52" s="1"/>
  <c r="D59" i="53"/>
  <c r="V49" i="53"/>
  <c r="E49" i="53" s="1"/>
  <c r="I10" i="52"/>
  <c r="F59" i="58"/>
  <c r="X49" i="58"/>
  <c r="J119" i="57"/>
  <c r="AB109" i="57"/>
  <c r="K109" i="57" s="1"/>
  <c r="D29" i="55"/>
  <c r="AH76" i="52"/>
  <c r="O76" i="52" s="1"/>
  <c r="E7" i="108"/>
  <c r="AH7" i="108"/>
  <c r="O7" i="108" s="1"/>
  <c r="D29" i="108"/>
  <c r="V19" i="108"/>
  <c r="E19" i="108" s="1"/>
  <c r="AH76" i="57"/>
  <c r="O76" i="57" s="1"/>
  <c r="AD80" i="57"/>
  <c r="M80" i="57" s="1"/>
  <c r="E13" i="108"/>
  <c r="AH13" i="108"/>
  <c r="O13" i="108" s="1"/>
  <c r="H29" i="52"/>
  <c r="Z19" i="52"/>
  <c r="I19" i="52"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D29" i="52"/>
  <c r="V19" i="52"/>
  <c r="E19" i="52" s="1"/>
  <c r="G109" i="57"/>
  <c r="X110" i="57"/>
  <c r="G110" i="57" s="1"/>
  <c r="M100" i="57"/>
  <c r="AH100" i="57"/>
  <c r="O100" i="57" s="1"/>
  <c r="K79" i="57"/>
  <c r="AB80" i="57"/>
  <c r="K80" i="57" s="1"/>
  <c r="K79" i="52"/>
  <c r="AB80" i="52"/>
  <c r="K80" i="52" s="1"/>
  <c r="AH67" i="52"/>
  <c r="AF80" i="52"/>
  <c r="G79" i="57"/>
  <c r="X80" i="57"/>
  <c r="G80" i="57" s="1"/>
  <c r="E19" i="55"/>
  <c r="J29" i="52"/>
  <c r="AB19" i="52"/>
  <c r="K19" i="52" s="1"/>
  <c r="V20" i="55"/>
  <c r="E20" i="55" s="1"/>
  <c r="G79" i="108"/>
  <c r="X80" i="108"/>
  <c r="G80" i="108" s="1"/>
  <c r="E43" i="52"/>
  <c r="V50" i="55"/>
  <c r="E50" i="55" s="1"/>
  <c r="K10" i="52"/>
  <c r="V80" i="52"/>
  <c r="E80" i="52" s="1"/>
  <c r="K10" i="108"/>
  <c r="AH10" i="108"/>
  <c r="P69" i="111"/>
  <c r="BW10" i="53"/>
  <c r="BW73" i="53"/>
  <c r="BW68" i="108"/>
  <c r="BW8" i="108"/>
  <c r="BW10" i="55"/>
  <c r="BW71" i="55"/>
  <c r="P29" i="111"/>
  <c r="BS7" i="57"/>
  <c r="BS17" i="57"/>
  <c r="BS99" i="57"/>
  <c r="BS70" i="53"/>
  <c r="BS18" i="53"/>
  <c r="BW42" i="58"/>
  <c r="BW8" i="58"/>
  <c r="BS7" i="58"/>
  <c r="BS41" i="58"/>
  <c r="I46" i="57"/>
  <c r="P46" i="111"/>
  <c r="P31" i="111"/>
  <c r="P74" i="111"/>
  <c r="P104" i="111"/>
  <c r="P21" i="111"/>
  <c r="AC58" i="57"/>
  <c r="L52" i="57"/>
  <c r="AC56" i="57"/>
  <c r="AC53" i="57"/>
  <c r="L53" i="57" s="1"/>
  <c r="AC57" i="57"/>
  <c r="AC55" i="57"/>
  <c r="P20" i="111"/>
  <c r="BS74" i="55"/>
  <c r="BS41" i="55"/>
  <c r="P65" i="98"/>
  <c r="P85" i="98"/>
  <c r="P50" i="98"/>
  <c r="P22" i="98"/>
  <c r="P103" i="98"/>
  <c r="P96" i="98"/>
  <c r="P12" i="98"/>
  <c r="O4" i="86"/>
  <c r="AF4" i="58"/>
  <c r="CT9" i="16"/>
  <c r="BW75" i="57"/>
  <c r="BW106" i="57"/>
  <c r="BW101" i="57"/>
  <c r="BS75" i="52"/>
  <c r="BS41" i="52"/>
  <c r="BS69" i="57"/>
  <c r="BS43" i="58"/>
  <c r="AE52" i="57"/>
  <c r="N51" i="85"/>
  <c r="N52" i="85" s="1"/>
  <c r="BT6" i="16"/>
  <c r="BS47" i="55"/>
  <c r="P54" i="98"/>
  <c r="P95" i="98"/>
  <c r="P60" i="98"/>
  <c r="P9" i="98"/>
  <c r="P58" i="98"/>
  <c r="P76" i="98"/>
  <c r="BW18" i="57"/>
  <c r="BW9" i="57"/>
  <c r="N22" i="107"/>
  <c r="N23" i="107" s="1"/>
  <c r="N22" i="86"/>
  <c r="N23" i="86" s="1"/>
  <c r="CJ9" i="16"/>
  <c r="AE22" i="58"/>
  <c r="BS77" i="108"/>
  <c r="BS18" i="52"/>
  <c r="BS77" i="52"/>
  <c r="BS46" i="52"/>
  <c r="BW74" i="58"/>
  <c r="BW16" i="58"/>
  <c r="BS11" i="58"/>
  <c r="BS39" i="58"/>
  <c r="P50" i="111"/>
  <c r="P83" i="111"/>
  <c r="P72" i="111"/>
  <c r="P61" i="111"/>
  <c r="P85" i="111"/>
  <c r="BW9" i="58"/>
  <c r="BS14" i="55"/>
  <c r="BS17" i="55"/>
  <c r="P34" i="98"/>
  <c r="P68" i="98"/>
  <c r="P44" i="98"/>
  <c r="P77" i="98"/>
  <c r="P16" i="98"/>
  <c r="P17" i="98"/>
  <c r="P14" i="98"/>
  <c r="P6" i="111"/>
  <c r="BW42" i="57"/>
  <c r="BW43" i="57"/>
  <c r="BW77" i="57"/>
  <c r="AC25" i="58"/>
  <c r="AC23" i="58"/>
  <c r="L23" i="58" s="1"/>
  <c r="AC28" i="58"/>
  <c r="AC26" i="58"/>
  <c r="L22" i="58"/>
  <c r="AC27" i="58"/>
  <c r="Z79" i="108"/>
  <c r="Z80" i="108" s="1"/>
  <c r="I80" i="108" s="1"/>
  <c r="H89" i="108"/>
  <c r="BS70" i="108"/>
  <c r="BS17" i="52"/>
  <c r="BS44" i="52"/>
  <c r="BW70" i="108"/>
  <c r="BS15" i="57"/>
  <c r="P94" i="111"/>
  <c r="BS100" i="57"/>
  <c r="P23" i="98"/>
  <c r="P25" i="98"/>
  <c r="P33" i="98"/>
  <c r="P55" i="98"/>
  <c r="P15" i="98"/>
  <c r="P100" i="98"/>
  <c r="BS43" i="108"/>
  <c r="BW45" i="57"/>
  <c r="BW74" i="57"/>
  <c r="BW46" i="57"/>
  <c r="I67" i="108"/>
  <c r="BS71" i="52"/>
  <c r="BS72" i="52"/>
  <c r="P7" i="98"/>
  <c r="BS7" i="53"/>
  <c r="BS46" i="53"/>
  <c r="BD16" i="16"/>
  <c r="BW70" i="58"/>
  <c r="BW17" i="58"/>
  <c r="BS40" i="58"/>
  <c r="BS44" i="58"/>
  <c r="P39" i="111"/>
  <c r="P37" i="111"/>
  <c r="P70" i="111"/>
  <c r="P51" i="111"/>
  <c r="P19" i="111"/>
  <c r="P91" i="111"/>
  <c r="Z49" i="53"/>
  <c r="Z50" i="53" s="1"/>
  <c r="I50" i="53" s="1"/>
  <c r="H59" i="53"/>
  <c r="I43" i="53"/>
  <c r="AH43" i="53"/>
  <c r="O43" i="53" s="1"/>
  <c r="BS75" i="55"/>
  <c r="BS8" i="55"/>
  <c r="P29" i="98"/>
  <c r="P102" i="98"/>
  <c r="P26" i="98"/>
  <c r="P30" i="98"/>
  <c r="P4" i="98"/>
  <c r="P67" i="98"/>
  <c r="I46" i="53"/>
  <c r="AH46" i="53"/>
  <c r="O46" i="53" s="1"/>
  <c r="BS72" i="108"/>
  <c r="AE23" i="52"/>
  <c r="AE28" i="52"/>
  <c r="AF16" i="52" s="1"/>
  <c r="AE27" i="52"/>
  <c r="AF13" i="52" s="1"/>
  <c r="AE25" i="52"/>
  <c r="AE26" i="52"/>
  <c r="AF10" i="52" s="1"/>
  <c r="BW48" i="57"/>
  <c r="BW17" i="57"/>
  <c r="BW78" i="57"/>
  <c r="CN5" i="16"/>
  <c r="BS9" i="108"/>
  <c r="P7" i="111"/>
  <c r="BS37" i="52"/>
  <c r="BS68" i="52"/>
  <c r="BS76" i="57"/>
  <c r="BS9" i="53"/>
  <c r="BS16" i="58"/>
  <c r="BS16" i="55"/>
  <c r="BW42" i="53"/>
  <c r="BW8" i="53"/>
  <c r="BW67" i="108"/>
  <c r="BW69" i="108"/>
  <c r="BW77" i="55"/>
  <c r="BW41" i="55"/>
  <c r="BS38" i="57"/>
  <c r="BS48" i="57"/>
  <c r="BS45" i="57"/>
  <c r="BS11" i="53"/>
  <c r="BS16" i="53"/>
  <c r="BW10" i="58"/>
  <c r="BW67" i="58"/>
  <c r="BS74" i="58"/>
  <c r="BS37" i="58"/>
  <c r="P27" i="111"/>
  <c r="P97" i="111"/>
  <c r="P66" i="111"/>
  <c r="P33" i="111"/>
  <c r="P80" i="111"/>
  <c r="P67" i="111"/>
  <c r="BS71" i="108"/>
  <c r="I37" i="53"/>
  <c r="AH37" i="53"/>
  <c r="BS77" i="55"/>
  <c r="BS46" i="55"/>
  <c r="P28" i="98"/>
  <c r="P62" i="98"/>
  <c r="P27" i="98"/>
  <c r="P43" i="98"/>
  <c r="P19" i="98"/>
  <c r="P84" i="98"/>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BS74" i="53"/>
  <c r="BW43" i="53"/>
  <c r="BW68" i="53"/>
  <c r="BW75" i="53"/>
  <c r="BW73" i="108"/>
  <c r="BW75" i="108"/>
  <c r="BW15" i="55"/>
  <c r="BW76" i="55"/>
  <c r="DK9" i="16"/>
  <c r="Z64" i="108"/>
  <c r="I62" i="107"/>
  <c r="BS77" i="57"/>
  <c r="BS44" i="57"/>
  <c r="BS15" i="53"/>
  <c r="BS8" i="53"/>
  <c r="BW44" i="58"/>
  <c r="BW47" i="58"/>
  <c r="BS46" i="58"/>
  <c r="BS68" i="58"/>
  <c r="P22" i="111"/>
  <c r="P87" i="111"/>
  <c r="P57" i="111"/>
  <c r="P30" i="111"/>
  <c r="P99" i="111"/>
  <c r="P88" i="111"/>
  <c r="M40" i="58"/>
  <c r="AH40" i="58"/>
  <c r="O40" i="58" s="1"/>
  <c r="BS12" i="55"/>
  <c r="BS76" i="55"/>
  <c r="P32" i="98"/>
  <c r="P36" i="98"/>
  <c r="P94" i="98"/>
  <c r="P71" i="98"/>
  <c r="P20" i="98"/>
  <c r="P56" i="98"/>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I73" i="108"/>
  <c r="BS74" i="57"/>
  <c r="BS13" i="57"/>
  <c r="BS37" i="53"/>
  <c r="BS45" i="53"/>
  <c r="I33" i="84"/>
  <c r="Z34" i="55"/>
  <c r="BC9" i="16"/>
  <c r="BW37" i="58"/>
  <c r="BW76" i="58"/>
  <c r="BS38" i="58"/>
  <c r="BS42" i="58"/>
  <c r="P75" i="111"/>
  <c r="P98" i="111"/>
  <c r="P79" i="111"/>
  <c r="P40" i="111"/>
  <c r="P2" i="111"/>
  <c r="P54" i="111"/>
  <c r="BW45" i="108"/>
  <c r="BS43" i="55"/>
  <c r="BS69" i="55"/>
  <c r="BS13" i="108"/>
  <c r="P48" i="98"/>
  <c r="P89" i="98"/>
  <c r="P104" i="98"/>
  <c r="P72" i="98"/>
  <c r="P2" i="98"/>
  <c r="P82" i="98"/>
  <c r="P18" i="111"/>
  <c r="BS39" i="52"/>
  <c r="BW72" i="57"/>
  <c r="BW40" i="57"/>
  <c r="BW68" i="57"/>
  <c r="BS78" i="108"/>
  <c r="BS48" i="52"/>
  <c r="BS14" i="52"/>
  <c r="BS68" i="57"/>
  <c r="BW39" i="58"/>
  <c r="BS41" i="57"/>
  <c r="P89" i="111"/>
  <c r="P17" i="111"/>
  <c r="BW46" i="53"/>
  <c r="BW18" i="53"/>
  <c r="BW70" i="53"/>
  <c r="BW77" i="53"/>
  <c r="D59" i="58"/>
  <c r="V49" i="58"/>
  <c r="V50" i="58" s="1"/>
  <c r="E50" i="58" s="1"/>
  <c r="BW47" i="108"/>
  <c r="BW46" i="108"/>
  <c r="BW42" i="55"/>
  <c r="BW75" i="55"/>
  <c r="DL7" i="16"/>
  <c r="DL16" i="16"/>
  <c r="BS97" i="57"/>
  <c r="BS47" i="57"/>
  <c r="AJ16" i="16"/>
  <c r="AJ5" i="16"/>
  <c r="AK12" i="16"/>
  <c r="BS48" i="53"/>
  <c r="BS38" i="53"/>
  <c r="BS72" i="53"/>
  <c r="BW71" i="58"/>
  <c r="BS12" i="58"/>
  <c r="BS73" i="58"/>
  <c r="BS70" i="58"/>
  <c r="P53" i="111"/>
  <c r="P84" i="111"/>
  <c r="P101" i="111"/>
  <c r="P55" i="111"/>
  <c r="P43" i="111"/>
  <c r="P64" i="111"/>
  <c r="BS68" i="108"/>
  <c r="BS45" i="55"/>
  <c r="BS70" i="55"/>
  <c r="P52" i="98"/>
  <c r="P38" i="98"/>
  <c r="P31" i="98"/>
  <c r="P83" i="98"/>
  <c r="P98" i="98"/>
  <c r="P11" i="98"/>
  <c r="BS47" i="108"/>
  <c r="Z80" i="57"/>
  <c r="I80" i="57" s="1"/>
  <c r="BW70" i="57"/>
  <c r="BW38" i="57"/>
  <c r="BW47" i="57"/>
  <c r="G37" i="52"/>
  <c r="BS42" i="108"/>
  <c r="BS75" i="108"/>
  <c r="BS16" i="52"/>
  <c r="BS10" i="52"/>
  <c r="BS44" i="53"/>
  <c r="BW14" i="108"/>
  <c r="BS9" i="58"/>
  <c r="BW46" i="55"/>
  <c r="BW16" i="53"/>
  <c r="BW45" i="53"/>
  <c r="BW74" i="53"/>
  <c r="E43" i="58"/>
  <c r="AH43" i="58"/>
  <c r="O43" i="58" s="1"/>
  <c r="BW18" i="108"/>
  <c r="BW77" i="108"/>
  <c r="BW17" i="55"/>
  <c r="BW43" i="55"/>
  <c r="BS45" i="108"/>
  <c r="BS107" i="57"/>
  <c r="BS73" i="57"/>
  <c r="I4" i="45"/>
  <c r="Z4" i="53"/>
  <c r="AI9" i="16"/>
  <c r="BS78" i="53"/>
  <c r="BS73" i="53"/>
  <c r="BW48" i="58"/>
  <c r="BW38" i="58"/>
  <c r="BS47" i="58"/>
  <c r="BS72" i="58"/>
  <c r="BS8" i="58"/>
  <c r="P65" i="111"/>
  <c r="P23" i="111"/>
  <c r="P41" i="111"/>
  <c r="P28" i="111"/>
  <c r="P42" i="111"/>
  <c r="P14" i="111"/>
  <c r="BS46" i="108"/>
  <c r="BS9" i="55"/>
  <c r="BS15" i="55"/>
  <c r="P42" i="98"/>
  <c r="P41" i="98"/>
  <c r="P78" i="98"/>
  <c r="P86" i="98"/>
  <c r="P6" i="98"/>
  <c r="P45" i="98"/>
  <c r="P9" i="111"/>
  <c r="BW13" i="57"/>
  <c r="BW11" i="57"/>
  <c r="BS67" i="108"/>
  <c r="BS45" i="52"/>
  <c r="BS70" i="52"/>
  <c r="BS39" i="108"/>
  <c r="BS11" i="57"/>
  <c r="P92" i="111"/>
  <c r="BW11" i="55"/>
  <c r="BS9" i="57"/>
  <c r="BS14" i="57"/>
  <c r="AB10" i="53"/>
  <c r="J26" i="53"/>
  <c r="BW38" i="53"/>
  <c r="BW48" i="53"/>
  <c r="BW100" i="57"/>
  <c r="BW43" i="108"/>
  <c r="BW74" i="108"/>
  <c r="BW12" i="55"/>
  <c r="BW16" i="55"/>
  <c r="BS76" i="53"/>
  <c r="BS70" i="57"/>
  <c r="BS71" i="57"/>
  <c r="BS17" i="53"/>
  <c r="L59" i="58"/>
  <c r="AD49" i="58"/>
  <c r="M49" i="58" s="1"/>
  <c r="BW78" i="58"/>
  <c r="BW77" i="58"/>
  <c r="BS15" i="58"/>
  <c r="BS69" i="58"/>
  <c r="BS77" i="58"/>
  <c r="P11" i="111"/>
  <c r="P24" i="111"/>
  <c r="P81" i="111"/>
  <c r="P25" i="111"/>
  <c r="P78" i="111"/>
  <c r="P34" i="111"/>
  <c r="BS76" i="108"/>
  <c r="BS78" i="55"/>
  <c r="BS48" i="55"/>
  <c r="P73" i="98"/>
  <c r="P97" i="98"/>
  <c r="P63" i="98"/>
  <c r="P64" i="98"/>
  <c r="P99" i="98"/>
  <c r="P93" i="98"/>
  <c r="P10" i="98"/>
  <c r="BW104" i="57"/>
  <c r="BW102" i="57"/>
  <c r="BS48" i="108"/>
  <c r="BS69" i="108"/>
  <c r="BS38" i="52"/>
  <c r="BS13" i="52"/>
  <c r="BS47" i="53"/>
  <c r="BS71" i="53"/>
  <c r="BW43" i="58"/>
  <c r="BW7" i="53"/>
  <c r="BW40" i="53"/>
  <c r="BW14" i="53"/>
  <c r="BW40" i="108"/>
  <c r="BW38" i="108"/>
  <c r="BW16" i="108"/>
  <c r="BW48" i="55"/>
  <c r="BW70" i="55"/>
  <c r="BS18" i="57"/>
  <c r="BS102" i="57"/>
  <c r="BS104" i="57"/>
  <c r="BS13" i="53"/>
  <c r="M37" i="58"/>
  <c r="AH37" i="58"/>
  <c r="BW15" i="58"/>
  <c r="BW7" i="58"/>
  <c r="BS18" i="58"/>
  <c r="BS13" i="58"/>
  <c r="P100" i="111"/>
  <c r="P49" i="111"/>
  <c r="P82" i="111"/>
  <c r="P86" i="111"/>
  <c r="P58" i="111"/>
  <c r="BS41" i="108"/>
  <c r="P8" i="111"/>
  <c r="BS10" i="55"/>
  <c r="BS73" i="55"/>
  <c r="BS11" i="108"/>
  <c r="P49" i="98"/>
  <c r="P40" i="98"/>
  <c r="P75" i="98"/>
  <c r="P35" i="98"/>
  <c r="P18" i="98"/>
  <c r="P87" i="98"/>
  <c r="BW72" i="58"/>
  <c r="BW12" i="57"/>
  <c r="BW99" i="57"/>
  <c r="AD16" i="52"/>
  <c r="L28" i="52"/>
  <c r="AB13" i="58"/>
  <c r="J27" i="58"/>
  <c r="BS12" i="108"/>
  <c r="BS40" i="52"/>
  <c r="BS74" i="52"/>
  <c r="E46" i="58"/>
  <c r="AH46" i="58"/>
  <c r="O46" i="58" s="1"/>
  <c r="BW72" i="53"/>
  <c r="BW14" i="55"/>
  <c r="AB7" i="53"/>
  <c r="J25" i="53"/>
  <c r="AA29" i="53"/>
  <c r="BW11" i="53"/>
  <c r="BW9" i="53"/>
  <c r="BW44" i="57"/>
  <c r="BW9" i="108"/>
  <c r="BW71" i="108"/>
  <c r="BW69" i="55"/>
  <c r="BW47" i="55"/>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BS18" i="55"/>
  <c r="BS7" i="55"/>
  <c r="BS13" i="55"/>
  <c r="P92" i="98"/>
  <c r="P80" i="98"/>
  <c r="P74" i="98"/>
  <c r="P61" i="98"/>
  <c r="P13" i="98"/>
  <c r="P59" i="98"/>
  <c r="BS8" i="108"/>
  <c r="G46" i="52"/>
  <c r="BW67" i="57"/>
  <c r="BW103" i="57"/>
  <c r="BW97" i="57"/>
  <c r="AD7" i="52"/>
  <c r="AC29" i="52"/>
  <c r="L25" i="52"/>
  <c r="J28" i="58"/>
  <c r="AB16" i="58"/>
  <c r="P8" i="98"/>
  <c r="BS69" i="52"/>
  <c r="BS67" i="52"/>
  <c r="BS43" i="57"/>
  <c r="BS39" i="57"/>
  <c r="BW76" i="53"/>
  <c r="P32" i="111"/>
  <c r="BS67" i="55"/>
  <c r="BW40" i="55"/>
  <c r="P13" i="111"/>
  <c r="AB16" i="53"/>
  <c r="J28" i="53"/>
  <c r="BW44" i="53"/>
  <c r="BW47" i="53"/>
  <c r="BS14" i="108"/>
  <c r="BW42" i="108"/>
  <c r="BW39" i="108"/>
  <c r="BW68" i="55"/>
  <c r="BW13" i="55"/>
  <c r="BS74" i="108"/>
  <c r="N22" i="45"/>
  <c r="N23" i="45" s="1"/>
  <c r="AE22" i="53"/>
  <c r="BS67" i="57"/>
  <c r="BS40" i="57"/>
  <c r="BS10" i="57"/>
  <c r="BS40" i="53"/>
  <c r="BS10" i="53"/>
  <c r="BW14" i="58"/>
  <c r="BW18" i="58"/>
  <c r="BS76" i="58"/>
  <c r="BS48" i="58"/>
  <c r="P16" i="111"/>
  <c r="P52" i="111"/>
  <c r="P56" i="111"/>
  <c r="P63" i="111"/>
  <c r="P26" i="111"/>
  <c r="P95" i="111"/>
  <c r="P3" i="111"/>
  <c r="BS44" i="55"/>
  <c r="I79" i="58"/>
  <c r="P51" i="98"/>
  <c r="P39" i="98"/>
  <c r="P3" i="98"/>
  <c r="P24" i="98"/>
  <c r="P47" i="98"/>
  <c r="P90" i="98"/>
  <c r="BS38" i="55"/>
  <c r="BW16" i="57"/>
  <c r="BW98" i="57"/>
  <c r="BW69" i="57"/>
  <c r="L27" i="52"/>
  <c r="AD13" i="52"/>
  <c r="AB10" i="58"/>
  <c r="J26" i="58"/>
  <c r="BS72" i="57"/>
  <c r="BS12" i="52"/>
  <c r="BS73" i="52"/>
  <c r="BS68" i="53"/>
  <c r="P62" i="111"/>
  <c r="BW78" i="53"/>
  <c r="BW67" i="53"/>
  <c r="BW9" i="55"/>
  <c r="BS37" i="55"/>
  <c r="BS75" i="57"/>
  <c r="AB13" i="53"/>
  <c r="J27" i="53"/>
  <c r="BW41" i="53"/>
  <c r="BW17" i="53"/>
  <c r="BS15" i="108"/>
  <c r="BW15" i="108"/>
  <c r="BW72" i="108"/>
  <c r="BW78" i="55"/>
  <c r="BW67" i="55"/>
  <c r="BW37" i="55"/>
  <c r="BS18" i="108"/>
  <c r="BS105" i="57"/>
  <c r="BS106" i="57"/>
  <c r="BS42" i="57"/>
  <c r="BS42" i="53"/>
  <c r="BS69" i="53"/>
  <c r="DR13" i="16"/>
  <c r="BW13" i="58"/>
  <c r="BW11" i="58"/>
  <c r="BS67" i="58"/>
  <c r="BS75" i="58"/>
  <c r="P60" i="111"/>
  <c r="P45" i="111"/>
  <c r="P73" i="111"/>
  <c r="P77" i="111"/>
  <c r="P36" i="111"/>
  <c r="K67" i="108"/>
  <c r="BW72" i="55"/>
  <c r="BS71" i="55"/>
  <c r="P10" i="111"/>
  <c r="P81" i="98"/>
  <c r="P88" i="98"/>
  <c r="P53" i="98"/>
  <c r="P21" i="98"/>
  <c r="P69" i="98"/>
  <c r="P57" i="98"/>
  <c r="BW73" i="57"/>
  <c r="BW41" i="57"/>
  <c r="BW39" i="57"/>
  <c r="BS17" i="108"/>
  <c r="AD10" i="52"/>
  <c r="L26" i="52"/>
  <c r="J25" i="58"/>
  <c r="AB7" i="58"/>
  <c r="AA29" i="58"/>
  <c r="BS78" i="52"/>
  <c r="BS47" i="52"/>
  <c r="BS78" i="57"/>
  <c r="P93" i="111"/>
  <c r="BW7" i="108"/>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N51" i="100"/>
  <c r="N86" i="100"/>
  <c r="N30" i="100"/>
  <c r="N97" i="100"/>
  <c r="N101" i="100"/>
  <c r="N91" i="100"/>
  <c r="N90" i="100"/>
  <c r="N65" i="100"/>
  <c r="N37" i="100"/>
  <c r="N25" i="100"/>
  <c r="N56" i="100"/>
  <c r="N70" i="100"/>
  <c r="N73" i="100"/>
  <c r="N42" i="100"/>
  <c r="N34" i="100"/>
  <c r="N48" i="100"/>
  <c r="N67" i="100"/>
  <c r="N35" i="100"/>
  <c r="N77" i="100"/>
  <c r="N96" i="100"/>
  <c r="N27" i="100"/>
  <c r="O27" i="100" s="1"/>
  <c r="N88" i="100"/>
  <c r="N26" i="100"/>
  <c r="N78" i="100"/>
  <c r="N62" i="100"/>
  <c r="N74" i="100"/>
  <c r="O74" i="100" s="1"/>
  <c r="N84" i="100"/>
  <c r="N57" i="100"/>
  <c r="N87" i="100"/>
  <c r="N76" i="100"/>
  <c r="N71" i="100"/>
  <c r="N68" i="100"/>
  <c r="N69" i="100"/>
  <c r="N99" i="100"/>
  <c r="O99" i="100" s="1"/>
  <c r="N38" i="100"/>
  <c r="N40" i="100"/>
  <c r="N29" i="100"/>
  <c r="N21" i="100"/>
  <c r="N72" i="100"/>
  <c r="N22" i="100"/>
  <c r="N60" i="100"/>
  <c r="N55" i="100"/>
  <c r="N104" i="100"/>
  <c r="N85" i="100"/>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P79" i="98"/>
  <c r="P101" i="98"/>
  <c r="P37" i="98"/>
  <c r="P66" i="98"/>
  <c r="P46" i="98"/>
  <c r="P91" i="98"/>
  <c r="P5" i="98"/>
  <c r="BS10" i="108"/>
  <c r="BW8" i="57"/>
  <c r="BW107" i="57"/>
  <c r="BW14" i="57"/>
  <c r="BS42" i="55"/>
  <c r="BS7" i="52"/>
  <c r="BS76" i="52"/>
  <c r="P5" i="111"/>
  <c r="O66" i="100" l="1"/>
  <c r="O85" i="100"/>
  <c r="O68" i="100"/>
  <c r="O60" i="100"/>
  <c r="O101" i="100"/>
  <c r="O21" i="100"/>
  <c r="P3" i="97"/>
  <c r="P50" i="97"/>
  <c r="P8" i="97"/>
  <c r="P36" i="97"/>
  <c r="P44" i="97"/>
  <c r="P66" i="97"/>
  <c r="P48" i="97"/>
  <c r="P99" i="97"/>
  <c r="P94" i="97"/>
  <c r="P70" i="97"/>
  <c r="P77" i="97"/>
  <c r="P76" i="97"/>
  <c r="P12" i="97"/>
  <c r="P29" i="97"/>
  <c r="P75" i="97"/>
  <c r="P7" i="97"/>
  <c r="P46" i="97"/>
  <c r="P28" i="97"/>
  <c r="P43" i="97"/>
  <c r="P92" i="97"/>
  <c r="P26" i="97"/>
  <c r="P63" i="97"/>
  <c r="P5" i="97"/>
  <c r="P35" i="97"/>
  <c r="P80" i="97"/>
  <c r="P16" i="97"/>
  <c r="P55" i="97"/>
  <c r="P10" i="97"/>
  <c r="P74" i="97"/>
  <c r="P79" i="97"/>
  <c r="P98" i="97"/>
  <c r="P21" i="97"/>
  <c r="P32" i="97"/>
  <c r="P38" i="97"/>
  <c r="P68" i="97"/>
  <c r="P25" i="97"/>
  <c r="P93" i="97"/>
  <c r="P52" i="97"/>
  <c r="P57" i="97"/>
  <c r="P87" i="97"/>
  <c r="P42" i="97"/>
  <c r="P4" i="97"/>
  <c r="P45" i="97"/>
  <c r="P40" i="97"/>
  <c r="P72" i="97"/>
  <c r="P23" i="97"/>
  <c r="P19" i="97"/>
  <c r="P24" i="97"/>
  <c r="P59" i="97"/>
  <c r="P39" i="97"/>
  <c r="P95" i="97"/>
  <c r="P88" i="97"/>
  <c r="P6" i="97"/>
  <c r="P51" i="97"/>
  <c r="P30" i="97"/>
  <c r="P101" i="97"/>
  <c r="P83" i="97"/>
  <c r="P81" i="97"/>
  <c r="P89" i="97"/>
  <c r="P49" i="97"/>
  <c r="P84" i="97"/>
  <c r="P82" i="97"/>
  <c r="P37" i="97"/>
  <c r="P9" i="97"/>
  <c r="P64" i="97"/>
  <c r="P27" i="97"/>
  <c r="P86" i="97"/>
  <c r="P102" i="97"/>
  <c r="P17" i="97"/>
  <c r="P58" i="97"/>
  <c r="P100" i="97"/>
  <c r="P22" i="97"/>
  <c r="P85" i="97"/>
  <c r="P33" i="97"/>
  <c r="P14" i="97"/>
  <c r="P60" i="97"/>
  <c r="P54" i="97"/>
  <c r="P65" i="97"/>
  <c r="P71" i="97"/>
  <c r="P11" i="97"/>
  <c r="P78" i="97"/>
  <c r="P13" i="97"/>
  <c r="P97" i="97"/>
  <c r="P34" i="97"/>
  <c r="P90" i="97"/>
  <c r="P73" i="97"/>
  <c r="P53" i="97"/>
  <c r="P69" i="97"/>
  <c r="P62" i="97"/>
  <c r="P41" i="97"/>
  <c r="P31" i="97"/>
  <c r="P47" i="97"/>
  <c r="P103" i="97"/>
  <c r="P15" i="97"/>
  <c r="P91" i="97"/>
  <c r="P67" i="97"/>
  <c r="P18" i="97"/>
  <c r="P61" i="97"/>
  <c r="P96" i="97"/>
  <c r="P2" i="97"/>
  <c r="P104" i="97"/>
  <c r="P20" i="97"/>
  <c r="P56" i="97"/>
  <c r="O77" i="100"/>
  <c r="O88" i="100"/>
  <c r="N80" i="107"/>
  <c r="N81" i="107" s="1"/>
  <c r="N80" i="86"/>
  <c r="N81" i="86" s="1"/>
  <c r="AE82" i="58"/>
  <c r="CN7" i="16"/>
  <c r="AC88" i="58"/>
  <c r="AC87" i="58"/>
  <c r="AC83" i="58"/>
  <c r="L83" i="58" s="1"/>
  <c r="L82" i="58"/>
  <c r="AC85" i="58"/>
  <c r="AC86" i="58"/>
  <c r="AB73" i="58"/>
  <c r="K73" i="58" s="1"/>
  <c r="J87" i="58"/>
  <c r="J88" i="58"/>
  <c r="AB76" i="58"/>
  <c r="K76" i="58" s="1"/>
  <c r="AB67" i="58"/>
  <c r="K67" i="58" s="1"/>
  <c r="AA89" i="58"/>
  <c r="J85" i="58"/>
  <c r="AB70" i="58"/>
  <c r="K70" i="58" s="1"/>
  <c r="J86" i="58"/>
  <c r="Z20" i="108"/>
  <c r="I20" i="108" s="1"/>
  <c r="AB20" i="108"/>
  <c r="K20" i="108" s="1"/>
  <c r="V20" i="108"/>
  <c r="E20" i="108" s="1"/>
  <c r="G49" i="58"/>
  <c r="X50" i="58"/>
  <c r="G50" i="58" s="1"/>
  <c r="F89" i="55"/>
  <c r="X80" i="55"/>
  <c r="G80" i="55" s="1"/>
  <c r="V80" i="53"/>
  <c r="E80" i="53" s="1"/>
  <c r="P28" i="96"/>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Y6" i="16"/>
  <c r="Z67" i="53"/>
  <c r="H85" i="53"/>
  <c r="J58" i="57"/>
  <c r="AB46" i="57"/>
  <c r="K46" i="57" s="1"/>
  <c r="L51" i="41"/>
  <c r="L52" i="41" s="1"/>
  <c r="AC52" i="52"/>
  <c r="H6" i="16"/>
  <c r="G9" i="16"/>
  <c r="J52" i="108"/>
  <c r="AA57" i="108"/>
  <c r="AA58" i="108"/>
  <c r="AA56" i="108"/>
  <c r="AA55" i="108"/>
  <c r="AA53" i="108"/>
  <c r="J53" i="108" s="1"/>
  <c r="F89" i="53"/>
  <c r="X79" i="53"/>
  <c r="DC9" i="16"/>
  <c r="AC52" i="108"/>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Z20" i="52"/>
  <c r="I20" i="52" s="1"/>
  <c r="X80" i="58"/>
  <c r="G80" i="58" s="1"/>
  <c r="AB50" i="58"/>
  <c r="K50" i="58" s="1"/>
  <c r="AD50" i="58"/>
  <c r="M50" i="58" s="1"/>
  <c r="V20" i="52"/>
  <c r="E20" i="52" s="1"/>
  <c r="AB20" i="52"/>
  <c r="K20" i="52" s="1"/>
  <c r="O67" i="52"/>
  <c r="AH80" i="52"/>
  <c r="E49" i="52"/>
  <c r="V50" i="52"/>
  <c r="E50" i="52" s="1"/>
  <c r="AH110" i="57"/>
  <c r="O110" i="57" s="1"/>
  <c r="AH19" i="108"/>
  <c r="O19" i="108" s="1"/>
  <c r="O10" i="108"/>
  <c r="AE23" i="53"/>
  <c r="AE28" i="53"/>
  <c r="AF16" i="53" s="1"/>
  <c r="AE26" i="53"/>
  <c r="AF10" i="53" s="1"/>
  <c r="AE27" i="53"/>
  <c r="AF13" i="53" s="1"/>
  <c r="AE25" i="53"/>
  <c r="N11" i="101"/>
  <c r="N19" i="101"/>
  <c r="N20" i="101"/>
  <c r="N14" i="101"/>
  <c r="N4" i="101"/>
  <c r="N12" i="101"/>
  <c r="O12" i="101" s="1"/>
  <c r="N5" i="10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K10" i="58"/>
  <c r="P100" i="88"/>
  <c r="P44" i="88"/>
  <c r="P27" i="88"/>
  <c r="P102" i="88"/>
  <c r="N16" i="70"/>
  <c r="C16" i="70" s="1"/>
  <c r="H16" i="70" s="1"/>
  <c r="N14" i="70"/>
  <c r="N15" i="70"/>
  <c r="C15" i="70" s="1"/>
  <c r="H15" i="70" s="1"/>
  <c r="C14" i="70"/>
  <c r="H14" i="70" s="1"/>
  <c r="M13" i="52"/>
  <c r="AH13" i="52"/>
  <c r="O13" i="52"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AF7" i="52"/>
  <c r="AH7" i="52" s="1"/>
  <c r="AE29" i="52"/>
  <c r="AF19" i="52" s="1"/>
  <c r="P77" i="88"/>
  <c r="P68" i="88"/>
  <c r="AD13" i="53"/>
  <c r="M13" i="53" s="1"/>
  <c r="L27" i="53"/>
  <c r="K13" i="58"/>
  <c r="P75" i="88"/>
  <c r="P90" i="88"/>
  <c r="P10" i="88"/>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M7" i="52"/>
  <c r="M16" i="52"/>
  <c r="AH16" i="52"/>
  <c r="O16" i="52" s="1"/>
  <c r="P85" i="88"/>
  <c r="P32" i="88"/>
  <c r="P12" i="88"/>
  <c r="B5" i="98"/>
  <c r="F5" i="98"/>
  <c r="A6" i="98"/>
  <c r="E5" i="98"/>
  <c r="G5" i="9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L29" i="52"/>
  <c r="AD19" i="52"/>
  <c r="AD20" i="52" s="1"/>
  <c r="M20" i="52" s="1"/>
  <c r="P97" i="88"/>
  <c r="P52" i="88"/>
  <c r="P11" i="88"/>
  <c r="AH49" i="58"/>
  <c r="O49" i="58" s="1"/>
  <c r="E49" i="58"/>
  <c r="P29" i="88"/>
  <c r="M10" i="52"/>
  <c r="AH10" i="52"/>
  <c r="O10" i="52" s="1"/>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BJ13" i="16"/>
  <c r="BE16" i="16"/>
  <c r="AD7" i="58"/>
  <c r="L25" i="58"/>
  <c r="AC29" i="58"/>
  <c r="P87" i="88"/>
  <c r="N15" i="63"/>
  <c r="C15" i="63" s="1"/>
  <c r="H15" i="63" s="1"/>
  <c r="C14" i="63"/>
  <c r="H14" i="63" s="1"/>
  <c r="N16" i="63"/>
  <c r="C16" i="63" s="1"/>
  <c r="H16" i="63" s="1"/>
  <c r="N14" i="63"/>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A6" i="97" l="1"/>
  <c r="G5" i="97"/>
  <c r="F5" i="97"/>
  <c r="B5" i="97"/>
  <c r="D5" i="97" s="1"/>
  <c r="E5" i="97"/>
  <c r="AD70" i="58"/>
  <c r="M70" i="58" s="1"/>
  <c r="L86" i="58"/>
  <c r="AD67" i="58"/>
  <c r="L85" i="58"/>
  <c r="AC89" i="58"/>
  <c r="L87" i="58"/>
  <c r="AD73" i="58"/>
  <c r="M73" i="58" s="1"/>
  <c r="L88" i="58"/>
  <c r="AD76" i="58"/>
  <c r="M76" i="58" s="1"/>
  <c r="AB79" i="58"/>
  <c r="J89" i="58"/>
  <c r="AE83" i="58"/>
  <c r="AE87" i="58"/>
  <c r="AF73" i="58" s="1"/>
  <c r="AE88" i="58"/>
  <c r="AF76" i="58" s="1"/>
  <c r="AE85" i="58"/>
  <c r="AE86" i="58"/>
  <c r="AF70" i="58" s="1"/>
  <c r="I49" i="57"/>
  <c r="O5" i="101"/>
  <c r="O4" i="101"/>
  <c r="O10" i="101"/>
  <c r="Z80" i="55"/>
  <c r="I80" i="55" s="1"/>
  <c r="F5" i="96"/>
  <c r="E5" i="96"/>
  <c r="G5" i="96"/>
  <c r="B5" i="96"/>
  <c r="D5" i="96" s="1"/>
  <c r="A6" i="96"/>
  <c r="E6" i="96" s="1"/>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Z50" i="108" s="1"/>
  <c r="I50" i="108" s="1"/>
  <c r="AE52" i="52"/>
  <c r="N51" i="41"/>
  <c r="N52" i="41" s="1"/>
  <c r="H9" i="16"/>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CD16" i="16" s="1"/>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7" i="52"/>
  <c r="O80" i="57"/>
  <c r="BA80" i="57"/>
  <c r="BN80" i="57" s="1"/>
  <c r="AH10" i="58"/>
  <c r="O10" i="58" s="1"/>
  <c r="AE29" i="53"/>
  <c r="AF19" i="53" s="1"/>
  <c r="AF7" i="53"/>
  <c r="M7" i="58"/>
  <c r="M19" i="52"/>
  <c r="AH19" i="52"/>
  <c r="O19" i="52" s="1"/>
  <c r="AD4" i="53"/>
  <c r="M4" i="45"/>
  <c r="AK9" i="16"/>
  <c r="AF20" i="52"/>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A7" i="98"/>
  <c r="G6" i="98"/>
  <c r="F6" i="98"/>
  <c r="E6" i="98"/>
  <c r="B6" i="98"/>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N38" i="102"/>
  <c r="N60" i="102"/>
  <c r="N23" i="102"/>
  <c r="N54" i="102"/>
  <c r="N58" i="102"/>
  <c r="N5" i="102"/>
  <c r="N80" i="102"/>
  <c r="O2" i="101"/>
  <c r="N22" i="102"/>
  <c r="N24" i="102"/>
  <c r="N12" i="102"/>
  <c r="O12" i="102" s="1"/>
  <c r="N97" i="102"/>
  <c r="N2" i="102"/>
  <c r="N78" i="102"/>
  <c r="N74" i="102"/>
  <c r="N75" i="102"/>
  <c r="N57" i="102"/>
  <c r="N19" i="102"/>
  <c r="N16" i="102"/>
  <c r="N67" i="102"/>
  <c r="N17" i="102"/>
  <c r="N45" i="102"/>
  <c r="N9" i="102"/>
  <c r="N66" i="102"/>
  <c r="N37" i="102"/>
  <c r="N8" i="102"/>
  <c r="N94" i="102"/>
  <c r="N10" i="102"/>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M37" i="57"/>
  <c r="C5" i="98"/>
  <c r="D5" i="98"/>
  <c r="P31" i="100"/>
  <c r="L59" i="57"/>
  <c r="AD49" i="57"/>
  <c r="AD50" i="57" s="1"/>
  <c r="M50" i="57" s="1"/>
  <c r="P23" i="100"/>
  <c r="A7" i="95"/>
  <c r="B6" i="97"/>
  <c r="A7" i="97"/>
  <c r="E6" i="97"/>
  <c r="F6" i="97"/>
  <c r="G6" i="97"/>
  <c r="B5" i="88"/>
  <c r="A6" i="88"/>
  <c r="E5" i="88"/>
  <c r="F5" i="88"/>
  <c r="G5" i="88"/>
  <c r="P47" i="100"/>
  <c r="P32" i="100"/>
  <c r="K19" i="53"/>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AH70" i="58" l="1"/>
  <c r="O70" i="58" s="1"/>
  <c r="C5" i="97"/>
  <c r="K79" i="58"/>
  <c r="AB80" i="58"/>
  <c r="K80" i="58" s="1"/>
  <c r="L89" i="58"/>
  <c r="AD79" i="58"/>
  <c r="M79" i="58" s="1"/>
  <c r="AF67" i="58"/>
  <c r="AE89" i="58"/>
  <c r="AF79" i="58" s="1"/>
  <c r="M67" i="58"/>
  <c r="AH76" i="58"/>
  <c r="O76" i="58" s="1"/>
  <c r="AH73" i="58"/>
  <c r="O73" i="58" s="1"/>
  <c r="O5" i="102"/>
  <c r="O4" i="102"/>
  <c r="O10" i="102"/>
  <c r="F6" i="96"/>
  <c r="G6" i="96"/>
  <c r="C5" i="96"/>
  <c r="B6" i="96"/>
  <c r="D6" i="96" s="1"/>
  <c r="A7" i="96"/>
  <c r="E7" i="96" s="1"/>
  <c r="C5" i="95"/>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P88" i="101"/>
  <c r="AF20" i="58"/>
  <c r="AH7" i="58"/>
  <c r="BA50" i="53"/>
  <c r="BN50" i="53" s="1"/>
  <c r="O50" i="53"/>
  <c r="C6" i="111"/>
  <c r="D6" i="111"/>
  <c r="P39" i="101"/>
  <c r="P26" i="101"/>
  <c r="P71" i="101"/>
  <c r="AF20" i="53"/>
  <c r="AH7" i="53"/>
  <c r="O33" i="84"/>
  <c r="AF34" i="55"/>
  <c r="BF9" i="16"/>
  <c r="P49" i="101"/>
  <c r="N10" i="103"/>
  <c r="N79" i="103"/>
  <c r="N78" i="103"/>
  <c r="N30" i="103"/>
  <c r="N24" i="103"/>
  <c r="N58" i="103"/>
  <c r="N5" i="103"/>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AH20" i="52"/>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D6" i="98"/>
  <c r="C6" i="9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A8" i="97"/>
  <c r="E7" i="97"/>
  <c r="B7" i="97"/>
  <c r="G7" i="97"/>
  <c r="F7" i="97"/>
  <c r="G7" i="95"/>
  <c r="A8" i="95"/>
  <c r="B7" i="95"/>
  <c r="F7" i="95"/>
  <c r="E7" i="95"/>
  <c r="P30" i="101"/>
  <c r="P66" i="101"/>
  <c r="P10" i="101"/>
  <c r="P98" i="101"/>
  <c r="P82" i="101"/>
  <c r="AL9" i="16"/>
  <c r="O4" i="45"/>
  <c r="AF4" i="53"/>
  <c r="P8" i="101"/>
  <c r="P92" i="101"/>
  <c r="P5" i="101"/>
  <c r="P16" i="101"/>
  <c r="P61" i="101"/>
  <c r="AH79" i="58" l="1"/>
  <c r="O79" i="58" s="1"/>
  <c r="AD80" i="58"/>
  <c r="M80" i="58" s="1"/>
  <c r="AF80" i="58"/>
  <c r="AH67" i="58"/>
  <c r="AH43" i="52"/>
  <c r="O43" i="52" s="1"/>
  <c r="O5" i="103"/>
  <c r="O4" i="103"/>
  <c r="O10" i="103"/>
  <c r="A8" i="96"/>
  <c r="G8" i="96" s="1"/>
  <c r="F7" i="96"/>
  <c r="C6" i="96"/>
  <c r="G7" i="96"/>
  <c r="B7" i="96"/>
  <c r="C7" i="96" s="1"/>
  <c r="O45" i="103"/>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B8" i="98"/>
  <c r="E8" i="98"/>
  <c r="A9" i="98"/>
  <c r="G8" i="98"/>
  <c r="F8" i="98"/>
  <c r="AH50" i="57"/>
  <c r="P11" i="102"/>
  <c r="P16" i="102"/>
  <c r="C7" i="97"/>
  <c r="D7" i="97"/>
  <c r="P26" i="102"/>
  <c r="P104" i="102"/>
  <c r="C7" i="98"/>
  <c r="D7" i="98"/>
  <c r="O20" i="52"/>
  <c r="BA20" i="52"/>
  <c r="BN20" i="52" s="1"/>
  <c r="N96" i="112"/>
  <c r="N97" i="112"/>
  <c r="N11" i="112"/>
  <c r="N73" i="112"/>
  <c r="N20" i="112"/>
  <c r="N47" i="112"/>
  <c r="N4" i="112"/>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N10" i="112"/>
  <c r="N17" i="112"/>
  <c r="N98" i="112"/>
  <c r="N45" i="112"/>
  <c r="N36" i="112"/>
  <c r="N3" i="112"/>
  <c r="O3" i="112" s="1"/>
  <c r="N100" i="112"/>
  <c r="N60" i="112"/>
  <c r="N72" i="112"/>
  <c r="N88" i="112"/>
  <c r="N14" i="112"/>
  <c r="N103" i="112"/>
  <c r="N86" i="112"/>
  <c r="N2" i="112"/>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P59" i="102"/>
  <c r="A9" i="97"/>
  <c r="G8" i="97"/>
  <c r="E8" i="97"/>
  <c r="B8" i="97"/>
  <c r="F8" i="97"/>
  <c r="O7" i="53"/>
  <c r="AH20" i="53"/>
  <c r="P84" i="102"/>
  <c r="P4" i="102"/>
  <c r="A8" i="88"/>
  <c r="E7" i="88"/>
  <c r="F7" i="88"/>
  <c r="B7" i="88"/>
  <c r="G7" i="8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AF50" i="52" l="1"/>
  <c r="O67" i="58"/>
  <c r="AH80" i="58"/>
  <c r="O2" i="112"/>
  <c r="O5" i="112"/>
  <c r="O4" i="112"/>
  <c r="O10" i="112"/>
  <c r="B8" i="96"/>
  <c r="D8" i="96" s="1"/>
  <c r="D7" i="96"/>
  <c r="E8" i="96"/>
  <c r="A9" i="96"/>
  <c r="B9" i="96" s="1"/>
  <c r="F8" i="96"/>
  <c r="O72" i="112"/>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O20" i="58"/>
  <c r="BA20" i="58"/>
  <c r="BN20" i="58" s="1"/>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BA80" i="58" l="1"/>
  <c r="BN80" i="58" s="1"/>
  <c r="O80" i="58"/>
  <c r="C8" i="96"/>
  <c r="A10" i="96"/>
  <c r="B10" i="96" s="1"/>
  <c r="E9" i="96"/>
  <c r="F9" i="96"/>
  <c r="G9" i="96"/>
  <c r="O20" i="55"/>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BO20" i="58"/>
  <c r="BO50" i="58"/>
  <c r="BO80" i="58"/>
  <c r="C9" i="95"/>
  <c r="D9" i="95"/>
  <c r="B7" i="102"/>
  <c r="E7" i="102"/>
  <c r="F7" i="102"/>
  <c r="A8" i="102"/>
  <c r="G7" i="102"/>
  <c r="G9" i="88"/>
  <c r="B9" i="88"/>
  <c r="E9" i="88"/>
  <c r="A10" i="88"/>
  <c r="F9" i="88"/>
  <c r="C9" i="98"/>
  <c r="D9" i="98"/>
  <c r="C9" i="96"/>
  <c r="D9" i="96"/>
  <c r="E10" i="96" l="1"/>
  <c r="F10" i="96"/>
  <c r="A11" i="96"/>
  <c r="F11" i="96" s="1"/>
  <c r="G10" i="96"/>
  <c r="O80" i="53"/>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C10" i="96"/>
  <c r="D10" i="96"/>
  <c r="F7" i="68"/>
  <c r="D8" i="68"/>
  <c r="J9" i="68"/>
  <c r="C9" i="68"/>
  <c r="G7" i="68"/>
  <c r="C7" i="68"/>
  <c r="G9" i="68"/>
  <c r="E7" i="68"/>
  <c r="E8" i="68"/>
  <c r="I8" i="68"/>
  <c r="G8" i="68"/>
  <c r="N8" i="68"/>
  <c r="H7" i="68"/>
  <c r="H8" i="68"/>
  <c r="N7" i="68"/>
  <c r="H9" i="68"/>
  <c r="I9" i="68"/>
  <c r="C8" i="68"/>
  <c r="I7" i="68"/>
  <c r="D9" i="68"/>
  <c r="K8" i="68"/>
  <c r="K7" i="68"/>
  <c r="L8" i="68"/>
  <c r="B8" i="68"/>
  <c r="L7" i="68"/>
  <c r="B9" i="68"/>
  <c r="J8" i="68"/>
  <c r="M7" i="68"/>
  <c r="K9" i="68"/>
  <c r="M8" i="68"/>
  <c r="L9" i="68"/>
  <c r="M9" i="68"/>
  <c r="N9" i="68"/>
  <c r="D7" i="68"/>
  <c r="J7" i="68"/>
  <c r="F9" i="68"/>
  <c r="B7" i="68"/>
  <c r="F8" i="68"/>
  <c r="E9" i="68"/>
  <c r="G11" i="97"/>
  <c r="A12" i="97"/>
  <c r="F11" i="97"/>
  <c r="B11" i="97"/>
  <c r="E11" i="97"/>
  <c r="A11" i="88"/>
  <c r="E10" i="88"/>
  <c r="B10" i="88"/>
  <c r="G10" i="88"/>
  <c r="F10" i="88"/>
  <c r="C9" i="88"/>
  <c r="D9" i="88"/>
  <c r="C9" i="100"/>
  <c r="D9" i="100"/>
  <c r="C10" i="111"/>
  <c r="D10" i="111"/>
  <c r="A10" i="101"/>
  <c r="F9" i="101"/>
  <c r="G9" i="101"/>
  <c r="B9" i="101"/>
  <c r="E9" i="101"/>
  <c r="D10" i="97"/>
  <c r="C10" i="97"/>
  <c r="B11" i="111"/>
  <c r="F11" i="111"/>
  <c r="G11" i="111"/>
  <c r="A12" i="111"/>
  <c r="E11" i="111"/>
  <c r="E8" i="102"/>
  <c r="A9" i="102"/>
  <c r="F8" i="102"/>
  <c r="G8" i="102"/>
  <c r="B8" i="102"/>
  <c r="D10" i="95"/>
  <c r="C10" i="95"/>
  <c r="D7" i="66" l="1"/>
  <c r="M9" i="66"/>
  <c r="J8" i="66"/>
  <c r="L9" i="66"/>
  <c r="B7" i="66"/>
  <c r="N8" i="66"/>
  <c r="B11" i="96"/>
  <c r="C11" i="96" s="1"/>
  <c r="E11" i="96"/>
  <c r="A12" i="96"/>
  <c r="E12" i="96" s="1"/>
  <c r="G11" i="96"/>
  <c r="D9" i="66"/>
  <c r="G9" i="66"/>
  <c r="J7" i="66"/>
  <c r="I8" i="66"/>
  <c r="J9" i="66"/>
  <c r="K8" i="66"/>
  <c r="I7" i="66"/>
  <c r="H9" i="66"/>
  <c r="B9" i="66"/>
  <c r="F9" i="66"/>
  <c r="M8" i="66"/>
  <c r="K9" i="66"/>
  <c r="N7" i="66"/>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O8" i="68"/>
  <c r="Q8" i="68" s="1"/>
  <c r="P7" i="68"/>
  <c r="AE8" i="68"/>
  <c r="E12" i="111"/>
  <c r="A13" i="111"/>
  <c r="F12" i="111"/>
  <c r="B12" i="111"/>
  <c r="G12" i="111"/>
  <c r="O7" i="68"/>
  <c r="Q7" i="68" s="1"/>
  <c r="F12" i="95"/>
  <c r="B12" i="95"/>
  <c r="E12" i="95"/>
  <c r="G12" i="95"/>
  <c r="A13" i="95"/>
  <c r="P9" i="68"/>
  <c r="AB9" i="68" s="1"/>
  <c r="O9" i="68"/>
  <c r="Q9" i="68" s="1"/>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AE9" i="68"/>
  <c r="P8" i="68"/>
  <c r="AB8" i="68" s="1"/>
  <c r="P7" i="66" l="1"/>
  <c r="D11" i="96"/>
  <c r="F12" i="96"/>
  <c r="A13" i="96"/>
  <c r="A14" i="96" s="1"/>
  <c r="B12" i="96"/>
  <c r="C12" i="96" s="1"/>
  <c r="G12" i="96"/>
  <c r="N9" i="63"/>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O9" i="66"/>
  <c r="Q9" i="66" s="1"/>
  <c r="O7" i="66"/>
  <c r="Q7" i="66" s="1"/>
  <c r="O8" i="66"/>
  <c r="Q8" i="66" s="1"/>
  <c r="H7" i="70"/>
  <c r="I7" i="70"/>
  <c r="C8" i="70"/>
  <c r="E8" i="70"/>
  <c r="D7" i="70"/>
  <c r="C9" i="70"/>
  <c r="N9" i="70"/>
  <c r="K8" i="70"/>
  <c r="H8" i="70"/>
  <c r="E7" i="70"/>
  <c r="C7" i="70"/>
  <c r="I8" i="70"/>
  <c r="B8" i="70"/>
  <c r="G7" i="70"/>
  <c r="F9" i="70"/>
  <c r="M7" i="70"/>
  <c r="G9" i="70"/>
  <c r="M9" i="70"/>
  <c r="D8" i="70"/>
  <c r="B9" i="70"/>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AA8" i="68"/>
  <c r="AC8" i="68" s="1"/>
  <c r="AD8" i="68" s="1"/>
  <c r="AA9" i="68"/>
  <c r="AC9" i="68" s="1"/>
  <c r="AD9" i="68" s="1"/>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C7" i="112"/>
  <c r="D7" i="112"/>
  <c r="G11" i="101"/>
  <c r="A12" i="101"/>
  <c r="E11" i="101"/>
  <c r="B11" i="101"/>
  <c r="F11" i="101"/>
  <c r="A11" i="102"/>
  <c r="F10" i="102"/>
  <c r="G10" i="102"/>
  <c r="E10" i="102"/>
  <c r="B10" i="102"/>
  <c r="D10" i="101"/>
  <c r="C10" i="101"/>
  <c r="G12" i="100"/>
  <c r="F12" i="100"/>
  <c r="E12" i="100"/>
  <c r="B12" i="100"/>
  <c r="A13" i="100"/>
  <c r="D12" i="97"/>
  <c r="C12" i="97"/>
  <c r="C9" i="102"/>
  <c r="D9" i="102"/>
  <c r="C12" i="98"/>
  <c r="D12" i="98"/>
  <c r="AA8" i="66"/>
  <c r="AC8" i="66" l="1"/>
  <c r="B13" i="96"/>
  <c r="C13" i="96" s="1"/>
  <c r="F13" i="96"/>
  <c r="G13" i="96"/>
  <c r="E13" i="96"/>
  <c r="D12" i="96"/>
  <c r="O10" i="63"/>
  <c r="Q10" i="63" s="1"/>
  <c r="P10" i="63"/>
  <c r="O9" i="63"/>
  <c r="Q9" i="63" s="1"/>
  <c r="P9" i="63"/>
  <c r="O8" i="60"/>
  <c r="Q8" i="60" s="1"/>
  <c r="P9" i="109"/>
  <c r="AB9" i="109" s="1"/>
  <c r="AE9" i="109"/>
  <c r="O7" i="70"/>
  <c r="Q7" i="70" s="1"/>
  <c r="O7" i="60"/>
  <c r="Q7" i="60" s="1"/>
  <c r="P9" i="60"/>
  <c r="P7" i="63"/>
  <c r="AE7" i="60"/>
  <c r="AE9" i="66" s="1"/>
  <c r="AE9" i="63" s="1"/>
  <c r="AE7" i="66"/>
  <c r="AE7" i="63" s="1"/>
  <c r="AE9" i="70" s="1"/>
  <c r="O7" i="109"/>
  <c r="Q7" i="109" s="1"/>
  <c r="P9" i="70"/>
  <c r="O9" i="70"/>
  <c r="P7" i="70"/>
  <c r="AE8" i="109"/>
  <c r="O8" i="63"/>
  <c r="Q8" i="63" s="1"/>
  <c r="P7" i="109"/>
  <c r="P8" i="60"/>
  <c r="AB7" i="66" s="1"/>
  <c r="O9" i="60"/>
  <c r="Q9" i="60" s="1"/>
  <c r="P8" i="63"/>
  <c r="O7" i="63"/>
  <c r="Q7" i="63" s="1"/>
  <c r="O9" i="109"/>
  <c r="Q9" i="109" s="1"/>
  <c r="P7" i="60"/>
  <c r="AB9" i="66" s="1"/>
  <c r="P8" i="70"/>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C13" i="98"/>
  <c r="D13" i="98"/>
  <c r="F13" i="88"/>
  <c r="B13" i="88"/>
  <c r="A14" i="88"/>
  <c r="E13" i="88"/>
  <c r="G13" i="88"/>
  <c r="C13" i="111"/>
  <c r="D13" i="111"/>
  <c r="B14" i="98"/>
  <c r="E14" i="98"/>
  <c r="F14" i="98"/>
  <c r="G14" i="98"/>
  <c r="A15" i="98"/>
  <c r="F11" i="102"/>
  <c r="B11" i="102"/>
  <c r="G11" i="102"/>
  <c r="E11" i="102"/>
  <c r="A12" i="102"/>
  <c r="B9" i="112"/>
  <c r="G9" i="112"/>
  <c r="F9" i="112"/>
  <c r="A10" i="112"/>
  <c r="E9" i="112"/>
  <c r="AA7" i="66" l="1"/>
  <c r="AC7" i="66" s="1"/>
  <c r="AA9" i="66"/>
  <c r="AC9" i="66" s="1"/>
  <c r="AE8" i="63"/>
  <c r="AE7" i="70" s="1"/>
  <c r="D13" i="96"/>
  <c r="AA8" i="109"/>
  <c r="AC8" i="109" s="1"/>
  <c r="AD8" i="109" s="1"/>
  <c r="AA9" i="109"/>
  <c r="AC9" i="109" s="1"/>
  <c r="AD9" i="109" s="1"/>
  <c r="Q9" i="70"/>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E8" i="70" l="1"/>
  <c r="AE7" i="68" s="1"/>
  <c r="AE7" i="109" s="1"/>
  <c r="AD9" i="66"/>
  <c r="AD7" i="66"/>
  <c r="AD8" i="66"/>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7" i="72" l="1"/>
  <c r="C7" i="72" s="1"/>
  <c r="B8" i="72"/>
  <c r="C8" i="72" s="1"/>
  <c r="B9" i="72"/>
  <c r="F9" i="72" s="1"/>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F7" i="72" l="1"/>
  <c r="H7" i="72" s="1"/>
  <c r="AB9" i="63" s="1"/>
  <c r="E7" i="72"/>
  <c r="D7" i="72"/>
  <c r="D8" i="72"/>
  <c r="F8" i="72"/>
  <c r="E8" i="72"/>
  <c r="G8" i="72" s="1"/>
  <c r="I8" i="72" s="1"/>
  <c r="E9" i="72"/>
  <c r="D9" i="72"/>
  <c r="H9" i="72" s="1"/>
  <c r="AB8" i="63" s="1"/>
  <c r="AA7" i="63"/>
  <c r="C9" i="72"/>
  <c r="G7" i="72"/>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G9" i="72" l="1"/>
  <c r="I9" i="72" s="1"/>
  <c r="H8" i="72"/>
  <c r="AB7" i="63" s="1"/>
  <c r="AC7" i="63" s="1"/>
  <c r="I7" i="72"/>
  <c r="AA9" i="63"/>
  <c r="AC9" i="63" s="1"/>
  <c r="AD9" i="63" s="1"/>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AB8" i="70" l="1"/>
  <c r="AB9" i="70"/>
  <c r="AA8" i="70"/>
  <c r="AA9" i="70"/>
  <c r="D8" i="73"/>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AC9" i="70" l="1"/>
  <c r="AD9" i="70" s="1"/>
  <c r="AC8" i="70"/>
  <c r="AD8" i="70" s="1"/>
  <c r="I7" i="73"/>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B7" i="75" l="1"/>
  <c r="K7" i="75" s="1"/>
  <c r="B9" i="75"/>
  <c r="I9" i="75" s="1"/>
  <c r="D8" i="75"/>
  <c r="C8" i="75"/>
  <c r="L8" i="75"/>
  <c r="J8" i="75"/>
  <c r="G8" i="75"/>
  <c r="I8" i="75"/>
  <c r="E8" i="75"/>
  <c r="H8" i="75"/>
  <c r="K8" i="75"/>
  <c r="F8"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J9" i="75" l="1"/>
  <c r="J7" i="75"/>
  <c r="D7" i="75"/>
  <c r="F9" i="75"/>
  <c r="AA7" i="109"/>
  <c r="E7" i="75"/>
  <c r="G9" i="75"/>
  <c r="L7" i="75"/>
  <c r="L9" i="75"/>
  <c r="H7" i="75"/>
  <c r="C9" i="75"/>
  <c r="H9" i="75"/>
  <c r="D9" i="75"/>
  <c r="K9" i="75"/>
  <c r="C7" i="75"/>
  <c r="E9" i="75"/>
  <c r="I7" i="75"/>
  <c r="G7" i="75"/>
  <c r="F7" i="75"/>
  <c r="AB7" i="109"/>
  <c r="N8" i="75"/>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AC7" i="109" l="1"/>
  <c r="AD7" i="109" s="1"/>
  <c r="B9" i="110" s="1"/>
  <c r="J9" i="110" s="1"/>
  <c r="N7" i="75"/>
  <c r="M9" i="75"/>
  <c r="O9" i="75" s="1"/>
  <c r="M7" i="75"/>
  <c r="O7" i="75" s="1"/>
  <c r="N9" i="75"/>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B8" i="110" l="1"/>
  <c r="H8" i="110" s="1"/>
  <c r="B7" i="110"/>
  <c r="D7" i="110" s="1"/>
  <c r="M9" i="110"/>
  <c r="H9" i="110"/>
  <c r="I9" i="110"/>
  <c r="G9" i="110"/>
  <c r="F9" i="110"/>
  <c r="N9" i="110"/>
  <c r="C9" i="110"/>
  <c r="L9" i="110"/>
  <c r="K9" i="110"/>
  <c r="E9" i="110"/>
  <c r="D9"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M8" i="110" l="1"/>
  <c r="E8" i="110"/>
  <c r="C8" i="110"/>
  <c r="H7" i="110"/>
  <c r="I7" i="110"/>
  <c r="F8" i="110"/>
  <c r="N8" i="110"/>
  <c r="J8" i="110"/>
  <c r="L8" i="110"/>
  <c r="D8" i="110"/>
  <c r="I8" i="110"/>
  <c r="K8" i="110"/>
  <c r="G8" i="110"/>
  <c r="K7" i="110"/>
  <c r="F7" i="110"/>
  <c r="G7" i="110"/>
  <c r="M7" i="110"/>
  <c r="N7" i="110"/>
  <c r="E7" i="110"/>
  <c r="C7" i="110"/>
  <c r="J7" i="110"/>
  <c r="L7" i="110"/>
  <c r="O9" i="110"/>
  <c r="Q9" i="110" s="1"/>
  <c r="P9" i="110"/>
  <c r="C27" i="103"/>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O8" i="110" l="1"/>
  <c r="Q8" i="110" s="1"/>
  <c r="P8" i="110"/>
  <c r="O7" i="110"/>
  <c r="Q7" i="110" s="1"/>
  <c r="P7" i="110"/>
  <c r="G33" i="97"/>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author>
  </authors>
  <commentList>
    <comment ref="C12" authorId="0" shapeId="0" xr:uid="{5FE06695-7D0F-4961-A7D2-D5CB80CE780E}">
      <text>
        <r>
          <rPr>
            <b/>
            <sz val="9"/>
            <color indexed="81"/>
            <rFont val="Segoe UI"/>
            <family val="2"/>
          </rPr>
          <t>Heide:</t>
        </r>
        <r>
          <rPr>
            <sz val="9"/>
            <color indexed="81"/>
            <rFont val="Segoe UI"/>
            <family val="2"/>
          </rPr>
          <t xml:space="preserve">
vorher Weber</t>
        </r>
      </text>
    </comment>
    <comment ref="C40" authorId="0" shapeId="0" xr:uid="{5170EC1A-0368-4707-B795-634602D9400B}">
      <text>
        <r>
          <rPr>
            <b/>
            <sz val="9"/>
            <color indexed="81"/>
            <rFont val="Segoe UI"/>
            <family val="2"/>
          </rPr>
          <t>Heide:</t>
        </r>
        <r>
          <rPr>
            <sz val="9"/>
            <color indexed="81"/>
            <rFont val="Segoe UI"/>
            <family val="2"/>
          </rPr>
          <t xml:space="preserve">
vorher Triebel</t>
        </r>
      </text>
    </comment>
    <comment ref="C154" authorId="0" shapeId="0" xr:uid="{70C62598-ED18-4EBD-A57E-B3D28138B073}">
      <text>
        <r>
          <rPr>
            <b/>
            <sz val="9"/>
            <color indexed="81"/>
            <rFont val="Segoe UI"/>
            <family val="2"/>
          </rPr>
          <t>Heide:</t>
        </r>
        <r>
          <rPr>
            <sz val="9"/>
            <color indexed="81"/>
            <rFont val="Segoe UI"/>
            <family val="2"/>
          </rPr>
          <t xml:space="preserve">
vor der Heirat Stoye</t>
        </r>
      </text>
    </comment>
    <comment ref="C271" authorId="0" shapeId="0" xr:uid="{100131DE-212A-4E99-B20F-C240209DA331}">
      <text>
        <r>
          <rPr>
            <b/>
            <sz val="9"/>
            <color indexed="81"/>
            <rFont val="Segoe UI"/>
            <family val="2"/>
          </rPr>
          <t>Heide:</t>
        </r>
        <r>
          <rPr>
            <sz val="9"/>
            <color indexed="81"/>
            <rFont val="Segoe UI"/>
            <family val="2"/>
          </rPr>
          <t xml:space="preserve">
vorher Ott</t>
        </r>
      </text>
    </comment>
    <comment ref="B321" authorId="0" shapeId="0" xr:uid="{56F18D31-A50D-4CF8-A30A-B3E8B3A9EC66}">
      <text>
        <r>
          <rPr>
            <b/>
            <sz val="9"/>
            <color indexed="81"/>
            <rFont val="Segoe UI"/>
            <family val="2"/>
          </rPr>
          <t>Heide:</t>
        </r>
        <r>
          <rPr>
            <sz val="9"/>
            <color indexed="81"/>
            <rFont val="Segoe UI"/>
            <family val="2"/>
          </rPr>
          <t xml:space="preserve">
Passnummer aus Schleswick-Holstein, gelber Pass</t>
        </r>
      </text>
    </comment>
    <comment ref="C357" authorId="0" shapeId="0" xr:uid="{17BC884A-842D-456D-B9E5-890C22C49E65}">
      <text>
        <r>
          <rPr>
            <b/>
            <sz val="9"/>
            <color indexed="81"/>
            <rFont val="Segoe UI"/>
            <family val="2"/>
          </rPr>
          <t>Heide:</t>
        </r>
        <r>
          <rPr>
            <sz val="9"/>
            <color indexed="81"/>
            <rFont val="Segoe UI"/>
            <family val="2"/>
          </rPr>
          <t xml:space="preserve">
vorher Schulze</t>
        </r>
      </text>
    </comment>
    <comment ref="C442" authorId="0" shapeId="0" xr:uid="{2777475D-589A-496E-B4C7-B0F15DCC2F01}">
      <text>
        <r>
          <rPr>
            <b/>
            <sz val="9"/>
            <color indexed="81"/>
            <rFont val="Segoe UI"/>
            <family val="2"/>
          </rPr>
          <t>Heide:</t>
        </r>
        <r>
          <rPr>
            <sz val="9"/>
            <color indexed="81"/>
            <rFont val="Segoe UI"/>
            <family val="2"/>
          </rPr>
          <t xml:space="preserve">
vorher Mattern</t>
        </r>
      </text>
    </comment>
    <comment ref="C545" authorId="0" shapeId="0" xr:uid="{E30F0B55-CD10-4BD2-BFF3-5E928F1CD232}">
      <text>
        <r>
          <rPr>
            <b/>
            <sz val="9"/>
            <color indexed="81"/>
            <rFont val="Segoe UI"/>
            <family val="2"/>
          </rPr>
          <t>Heide:</t>
        </r>
        <r>
          <rPr>
            <sz val="9"/>
            <color indexed="81"/>
            <rFont val="Segoe UI"/>
            <family val="2"/>
          </rPr>
          <t xml:space="preserve">
vorher Dornheim, geändert am 5.10.22</t>
        </r>
      </text>
    </comment>
    <comment ref="C756" authorId="0" shapeId="0" xr:uid="{A417A96D-A435-4D12-BBA0-70DDF0832E96}">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<sst xmlns="http://schemas.openxmlformats.org/spreadsheetml/2006/main" count="13220" uniqueCount="2537">
  <si>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</si>
  <si>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</si>
  <si>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</si>
  <si>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</si>
  <si>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</si>
  <si>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</si>
  <si>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</si>
  <si>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</si>
  <si>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</si>
  <si>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</si>
  <si>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</si>
  <si>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</si>
  <si>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</si>
  <si>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</si>
  <si>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</si>
  <si>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</si>
  <si>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</si>
  <si>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</si>
  <si>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</si>
  <si>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</si>
  <si>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</si>
  <si>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</si>
  <si>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</si>
  <si>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</si>
  <si>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</si>
  <si>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</si>
  <si>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</si>
  <si>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</si>
  <si>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</si>
  <si>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</si>
  <si>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</si>
  <si>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</si>
  <si>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</si>
  <si>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</si>
  <si>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</si>
  <si>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</si>
  <si>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</si>
  <si>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</si>
  <si>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</si>
  <si>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</si>
  <si>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</si>
  <si>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</si>
  <si>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</si>
  <si>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</si>
  <si>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</si>
  <si>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</si>
  <si>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</si>
  <si>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</si>
  <si>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</si>
  <si>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</si>
  <si>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</si>
  <si>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</si>
  <si>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</si>
  <si>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</si>
  <si>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</si>
  <si>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</si>
  <si>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</si>
  <si>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</si>
  <si>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</si>
  <si>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</si>
  <si>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</si>
  <si>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</si>
  <si>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</si>
  <si>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</si>
  <si>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</si>
  <si>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</si>
  <si>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</si>
  <si>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</si>
  <si>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</si>
  <si>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</si>
  <si>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</si>
  <si>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</si>
  <si>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</si>
  <si>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</si>
  <si>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</si>
  <si>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</si>
  <si>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</si>
  <si>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</si>
  <si>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</si>
  <si>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</si>
  <si>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</si>
  <si>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</si>
  <si>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</si>
  <si>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</si>
  <si>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</si>
  <si>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</si>
  <si>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</si>
  <si>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</si>
  <si>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</si>
  <si>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</si>
  <si>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</si>
  <si>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</si>
  <si>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</si>
  <si>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</si>
  <si>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</si>
  <si>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</si>
  <si>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</si>
  <si>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</si>
  <si>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</si>
  <si>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</si>
  <si>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</si>
  <si>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</si>
  <si>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</si>
  <si>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</si>
  <si>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</si>
  <si>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</si>
  <si>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</si>
  <si>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</si>
  <si>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</si>
  <si>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</si>
  <si>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</si>
  <si>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</si>
  <si>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</si>
  <si>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</si>
  <si>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</si>
  <si>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</si>
  <si>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</si>
  <si>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</si>
  <si>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</si>
  <si>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</si>
  <si>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</si>
  <si>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</si>
  <si>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</si>
  <si>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</si>
  <si>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</si>
  <si>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</si>
  <si>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</si>
  <si>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</si>
  <si>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</si>
  <si>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</si>
  <si>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</si>
  <si>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</si>
  <si>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</si>
  <si>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</si>
  <si>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</si>
  <si>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</si>
  <si>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</si>
  <si>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</si>
  <si>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</si>
  <si>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</si>
  <si>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</si>
  <si>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</si>
  <si>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</si>
  <si>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</si>
  <si>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</si>
  <si>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</si>
  <si>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</si>
  <si>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</si>
  <si>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</si>
  <si>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</si>
  <si>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</si>
  <si>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</si>
  <si>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</si>
  <si>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</si>
  <si>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</si>
  <si>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</si>
  <si>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</si>
  <si>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</si>
  <si>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</si>
  <si>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</si>
  <si>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</si>
  <si>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</si>
  <si>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</si>
  <si>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</si>
  <si>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</si>
  <si>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</si>
  <si>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</si>
  <si>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</si>
  <si>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</si>
  <si>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</si>
  <si>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</si>
  <si>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</si>
  <si>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</si>
  <si>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</si>
  <si>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</si>
  <si>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</si>
  <si>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</si>
  <si>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</si>
  <si>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</si>
  <si>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</si>
  <si>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</si>
  <si>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</si>
  <si>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</si>
  <si>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</si>
  <si>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</si>
  <si>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</si>
  <si>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</si>
  <si>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</si>
  <si>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</si>
  <si>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</si>
  <si>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</si>
  <si>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</si>
  <si>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</si>
  <si>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</si>
  <si>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</si>
  <si>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</si>
  <si>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</si>
  <si>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</si>
  <si>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</si>
  <si>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</si>
  <si>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</si>
  <si>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</si>
  <si>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</si>
  <si>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</si>
  <si>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</si>
  <si>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</si>
  <si>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</si>
  <si>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</si>
  <si>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</si>
  <si>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</si>
  <si>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</si>
  <si>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</si>
  <si>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</si>
  <si>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</si>
  <si>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</si>
  <si>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</si>
  <si>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</si>
  <si>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</si>
  <si>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</si>
  <si>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</si>
  <si>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</si>
  <si>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</si>
  <si>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</si>
  <si>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</si>
  <si>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</si>
  <si>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</si>
  <si>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</si>
  <si>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</si>
  <si>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</si>
  <si>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</si>
  <si>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</si>
  <si>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</si>
  <si>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</si>
  <si>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</si>
  <si>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</si>
  <si>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</si>
  <si>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</si>
  <si>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</si>
  <si>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</si>
  <si>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</si>
  <si>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</si>
  <si>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</si>
  <si>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</si>
  <si>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</si>
  <si>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</si>
  <si>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</si>
  <si>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</si>
  <si>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</si>
  <si>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</si>
  <si>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</si>
  <si>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</si>
  <si>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</si>
  <si>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</si>
  <si>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</si>
  <si>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</si>
  <si>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</si>
  <si>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</si>
  <si>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</si>
  <si>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</si>
  <si>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</si>
  <si>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</si>
  <si>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</si>
  <si>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</si>
  <si>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</si>
  <si>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</si>
  <si>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</si>
  <si>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</si>
  <si>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</si>
  <si>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</si>
  <si>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</si>
  <si>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</si>
  <si>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</si>
  <si>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</si>
  <si>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</si>
  <si>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</si>
  <si>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</si>
  <si>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</si>
  <si>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</si>
  <si>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</si>
  <si>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</si>
  <si>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</si>
  <si>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</si>
  <si>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</si>
  <si>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</si>
  <si>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</si>
  <si>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</si>
  <si>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</si>
  <si>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</si>
  <si>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</si>
  <si>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</si>
  <si>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</si>
  <si>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</si>
  <si>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</si>
  <si>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</si>
  <si>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</si>
  <si>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</si>
  <si>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</si>
  <si>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</si>
  <si>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</si>
  <si>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</si>
  <si>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</si>
  <si>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</si>
  <si>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</si>
  <si>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</si>
  <si>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</si>
  <si>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</si>
  <si>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</si>
  <si>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</si>
  <si>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</si>
  <si>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</si>
  <si>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</si>
  <si>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</si>
  <si>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</si>
  <si>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</si>
  <si>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</si>
  <si>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</si>
  <si>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</si>
  <si>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</si>
  <si>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</si>
  <si>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</si>
  <si>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</si>
  <si>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</si>
  <si>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</si>
  <si>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</si>
  <si>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</si>
  <si>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</si>
  <si>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</si>
  <si>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</si>
  <si>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</si>
  <si>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</si>
  <si>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</si>
  <si>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</si>
  <si>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</si>
  <si>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</si>
  <si>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</si>
  <si>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</si>
  <si>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</si>
  <si>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</si>
  <si>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</si>
  <si>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</si>
  <si>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</si>
  <si>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</si>
  <si>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</si>
  <si>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</si>
  <si>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</si>
  <si>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</si>
  <si>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</si>
  <si>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</si>
  <si>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</si>
  <si>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</si>
  <si>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</si>
  <si>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</si>
  <si>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</si>
  <si>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</si>
  <si>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</si>
  <si>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</si>
  <si>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</si>
  <si>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</si>
  <si>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</si>
  <si>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</si>
  <si>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</si>
  <si>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</si>
  <si>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</si>
  <si>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</si>
  <si>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</si>
  <si>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</si>
  <si>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</si>
  <si>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</si>
  <si>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</si>
  <si>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</si>
  <si>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</si>
  <si>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</si>
  <si>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</si>
  <si>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</si>
  <si>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</si>
  <si>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</si>
  <si>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</si>
  <si>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</si>
  <si>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</si>
  <si>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</si>
  <si>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</si>
  <si>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</si>
  <si>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</si>
  <si>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</si>
  <si>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</si>
  <si>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</si>
  <si>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</si>
  <si>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</si>
  <si>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</si>
  <si>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</si>
  <si>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</si>
  <si>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</si>
  <si>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</si>
  <si>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</si>
  <si>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</si>
  <si>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</si>
  <si>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</si>
  <si>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</si>
  <si>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</si>
  <si>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</si>
  <si>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</si>
  <si>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</si>
  <si>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</si>
  <si>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</si>
  <si>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</si>
  <si>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</si>
  <si>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</si>
  <si>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</si>
  <si>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</si>
  <si>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</si>
  <si>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</si>
  <si>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</si>
  <si>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</si>
  <si>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</si>
  <si>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</si>
  <si>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</si>
  <si>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</si>
  <si>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</si>
  <si>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</si>
  <si>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</si>
  <si>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</si>
  <si>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</si>
  <si>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</si>
  <si>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</si>
  <si>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</si>
  <si>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</si>
  <si>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</si>
  <si>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</si>
  <si>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</si>
  <si>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</si>
  <si>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</si>
  <si>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</si>
  <si>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</si>
  <si>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</si>
  <si>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</si>
  <si>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</si>
  <si>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</si>
  <si>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</si>
  <si>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</si>
  <si>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</si>
  <si>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</si>
  <si>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</si>
  <si>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</si>
  <si>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</si>
  <si>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</si>
  <si>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</si>
  <si>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</si>
  <si>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</si>
  <si>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</si>
  <si>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</si>
  <si>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</si>
  <si>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</si>
  <si>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</si>
  <si>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</si>
  <si>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</si>
  <si>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</si>
  <si>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</si>
  <si>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</si>
  <si>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</si>
  <si>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</si>
  <si>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</si>
  <si>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</si>
  <si>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</si>
  <si>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</si>
  <si>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</si>
  <si>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</si>
  <si>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</si>
  <si>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</si>
  <si>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</si>
  <si>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</si>
  <si>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</si>
  <si>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</si>
  <si>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</si>
  <si>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</si>
  <si>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</si>
  <si>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</si>
  <si>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</si>
  <si>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</si>
  <si>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</si>
  <si>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</si>
  <si>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</si>
  <si>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</si>
  <si>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</si>
  <si>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</si>
  <si>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</si>
  <si>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</si>
  <si>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</si>
  <si>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</si>
  <si>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</si>
  <si>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</si>
  <si>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</si>
  <si>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</si>
  <si>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</si>
  <si>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</si>
  <si>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</si>
  <si>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</si>
  <si>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</si>
  <si>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</si>
  <si>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</si>
  <si>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</si>
  <si>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</si>
  <si>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</si>
  <si>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</si>
  <si>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</si>
  <si>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</si>
  <si>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</si>
  <si>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</si>
  <si>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</si>
  <si>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</si>
  <si>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</si>
  <si>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</si>
  <si>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</si>
  <si>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</si>
  <si>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</si>
  <si>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</si>
  <si>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</si>
  <si>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</si>
  <si>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</si>
  <si>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</si>
  <si>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</si>
  <si>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</si>
  <si>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</si>
  <si>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</si>
  <si>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</si>
  <si>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</si>
  <si>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</si>
  <si>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</si>
  <si>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</si>
  <si>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</si>
  <si>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</si>
  <si>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</si>
  <si>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</si>
  <si>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</si>
  <si>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</si>
  <si>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</si>
  <si>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</si>
  <si>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</si>
  <si>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</si>
  <si>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</si>
  <si>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</si>
  <si>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</si>
  <si>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</si>
  <si>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</si>
  <si>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</si>
  <si>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</si>
  <si>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</si>
  <si>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</si>
  <si>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</si>
  <si>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</si>
  <si>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</si>
  <si>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</si>
  <si>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</si>
  <si>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</si>
  <si>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</si>
  <si>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</si>
  <si>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</si>
  <si>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</si>
  <si>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</si>
  <si>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</si>
  <si>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</si>
  <si>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</si>
  <si>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</si>
  <si>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</si>
  <si>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</si>
  <si>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</si>
  <si>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</si>
  <si>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</si>
  <si>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</si>
  <si>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</si>
  <si>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</si>
  <si>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</si>
  <si>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</si>
  <si>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</si>
  <si>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</si>
  <si>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</si>
  <si>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</si>
  <si>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</si>
  <si>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</si>
  <si>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</si>
  <si>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</si>
  <si>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</si>
  <si>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</si>
  <si>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</si>
  <si>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</si>
  <si>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</si>
  <si>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</si>
  <si>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</si>
  <si>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</si>
  <si>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</si>
  <si>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</si>
  <si>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</si>
  <si>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</si>
  <si>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</si>
  <si>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</si>
  <si>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</si>
  <si>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</si>
  <si>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</si>
  <si>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</si>
  <si>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</si>
  <si>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</si>
  <si>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</si>
  <si>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</si>
  <si>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</si>
  <si>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</si>
  <si>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</si>
  <si>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</si>
  <si>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</si>
  <si>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</si>
  <si>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</si>
  <si>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</si>
  <si>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</si>
  <si>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</si>
  <si>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</si>
  <si>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</si>
  <si>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</si>
  <si>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</si>
  <si>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</si>
  <si>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</si>
  <si>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</si>
  <si>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</si>
  <si>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</si>
  <si>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</si>
  <si>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</si>
  <si>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</si>
  <si>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</si>
  <si>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</si>
  <si>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</si>
  <si>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</si>
  <si>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</si>
  <si>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</si>
  <si>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</si>
  <si>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</si>
  <si>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</si>
  <si>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</si>
  <si>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</si>
  <si>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</si>
  <si>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</si>
  <si>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</si>
  <si>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</si>
  <si>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</si>
  <si>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</si>
  <si>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</si>
  <si>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</si>
  <si>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</si>
  <si>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</si>
  <si>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</si>
  <si>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</si>
  <si>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</si>
  <si>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</si>
  <si>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</si>
  <si>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</si>
  <si>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</si>
  <si>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</si>
  <si>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</si>
  <si>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</si>
  <si>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</si>
  <si>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</si>
  <si>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</si>
  <si>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</si>
  <si>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</si>
  <si>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</si>
  <si>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</si>
  <si>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</si>
  <si>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</si>
  <si>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</si>
  <si>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</si>
  <si>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</si>
  <si>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</si>
  <si>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</si>
  <si>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</si>
  <si>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</si>
  <si>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</si>
  <si>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</si>
  <si>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</si>
  <si>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</si>
  <si>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</si>
  <si>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</si>
  <si>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</si>
  <si>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</si>
  <si>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</si>
  <si>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</si>
  <si>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</si>
  <si>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</si>
  <si>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</si>
  <si>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</si>
  <si>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</si>
  <si>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</si>
  <si>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</si>
  <si>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</si>
  <si>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</si>
  <si>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</si>
  <si>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</si>
  <si>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</si>
  <si>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</si>
  <si>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</si>
  <si>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</si>
  <si>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</si>
  <si>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</si>
  <si>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</si>
  <si>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</si>
  <si>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</si>
  <si>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</si>
  <si>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</si>
  <si>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</si>
  <si>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</si>
  <si>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</si>
  <si>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</si>
  <si>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</si>
  <si>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</si>
  <si>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</si>
  <si>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</si>
  <si>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</si>
  <si>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</si>
  <si>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</si>
  <si>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</si>
  <si>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</si>
  <si>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</si>
  <si>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</si>
  <si>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</si>
  <si>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</si>
  <si>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</si>
  <si>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</si>
  <si>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</si>
  <si>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</si>
  <si>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</si>
  <si>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</si>
  <si>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</si>
  <si>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</si>
  <si>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</si>
  <si>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</si>
  <si>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</si>
  <si>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</si>
  <si>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</si>
  <si>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</si>
  <si>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</si>
  <si>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</si>
  <si>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</si>
  <si>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</si>
  <si>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</si>
  <si>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</si>
  <si>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</si>
  <si>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</si>
  <si>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</si>
  <si>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</si>
  <si>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</si>
  <si>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</si>
  <si>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</si>
  <si>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</si>
  <si>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</si>
  <si>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</si>
  <si>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</si>
  <si>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</si>
  <si>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</si>
  <si>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</si>
  <si>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</si>
  <si>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</si>
  <si>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</si>
  <si>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</si>
  <si>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</si>
  <si>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</si>
  <si>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</si>
  <si>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</si>
  <si>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</si>
  <si>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</si>
  <si>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</si>
  <si>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</si>
  <si>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</si>
  <si>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</si>
  <si>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</si>
  <si>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</si>
  <si>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</si>
  <si>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</si>
  <si>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</si>
  <si>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</si>
  <si>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</si>
  <si>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</si>
  <si>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</si>
  <si>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</si>
  <si>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</si>
  <si>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</si>
  <si>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</si>
  <si>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</si>
  <si>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</si>
  <si>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</si>
  <si>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</si>
  <si>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</si>
  <si>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</si>
  <si>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</si>
  <si>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</si>
  <si>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</si>
  <si>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</si>
  <si>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</si>
  <si>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</si>
  <si>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</si>
  <si>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</si>
  <si>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</si>
  <si>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</si>
  <si>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</si>
  <si>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</si>
  <si>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</si>
  <si>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</si>
  <si>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</si>
  <si>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</si>
  <si>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</si>
  <si>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</si>
  <si>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</si>
  <si>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</si>
  <si>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</si>
  <si>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</si>
  <si>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</si>
  <si>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</si>
  <si>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</si>
  <si>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</si>
  <si>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</si>
  <si>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</si>
  <si>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</si>
  <si>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</si>
  <si>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</si>
  <si>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</si>
  <si>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</si>
  <si>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</si>
  <si>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</si>
  <si>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</si>
  <si>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</si>
  <si>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</si>
  <si>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</si>
  <si>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</si>
  <si>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</si>
  <si>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</si>
  <si>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</si>
  <si>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</si>
  <si>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</si>
  <si>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</si>
  <si>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</si>
  <si>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</si>
  <si>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</si>
  <si>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</si>
  <si>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</si>
  <si>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</si>
  <si>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</si>
  <si>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</si>
  <si>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</si>
  <si>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</si>
  <si>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</si>
  <si>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</si>
  <si>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</si>
  <si>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</si>
  <si>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</si>
  <si>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</si>
  <si>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</si>
  <si>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</si>
  <si>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</si>
  <si>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</si>
  <si>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</si>
  <si>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</si>
  <si>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</si>
  <si>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</si>
  <si>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</si>
  <si>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</si>
  <si>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</si>
  <si>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</si>
  <si>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</si>
  <si>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</si>
  <si>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</si>
  <si>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</si>
  <si>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</si>
  <si>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</si>
  <si>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</si>
  <si>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</si>
  <si>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</si>
  <si>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</si>
  <si>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</si>
  <si>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</si>
  <si>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</si>
  <si>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</si>
  <si>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</si>
  <si>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</si>
  <si>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</si>
  <si>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</si>
  <si>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</si>
  <si>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</si>
  <si>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</si>
  <si>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</si>
  <si>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</si>
  <si>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</si>
  <si>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</si>
  <si>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</si>
  <si>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</si>
  <si>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</si>
  <si>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</si>
  <si>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</si>
  <si>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</si>
  <si>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</si>
  <si>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</si>
  <si>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</si>
  <si>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</si>
  <si>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</si>
  <si>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</si>
  <si>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</si>
  <si>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</si>
  <si>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</si>
  <si>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</si>
  <si>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</si>
  <si>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</si>
  <si>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</si>
  <si>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</si>
  <si>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</si>
  <si>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</si>
  <si>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</si>
  <si>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</si>
  <si>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</si>
  <si>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</si>
  <si>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</si>
  <si>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</si>
  <si>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</si>
  <si>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</si>
  <si>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</si>
  <si>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</si>
  <si>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</si>
  <si>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</si>
  <si>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</si>
  <si>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</si>
  <si>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</si>
  <si>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</si>
  <si>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</si>
  <si>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</si>
  <si>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</si>
  <si>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</si>
  <si>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</si>
  <si>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</si>
  <si>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</si>
  <si>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</si>
  <si>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</si>
  <si>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</si>
  <si>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</si>
  <si>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</si>
  <si>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</si>
  <si>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</si>
  <si>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</si>
  <si>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</si>
  <si>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</si>
  <si>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</si>
  <si>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</si>
  <si>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</si>
  <si>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</si>
  <si>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</si>
  <si>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</si>
  <si>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</si>
  <si>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</si>
  <si>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</si>
  <si>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</si>
  <si>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</si>
  <si>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</si>
  <si>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</si>
  <si>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</si>
  <si>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</si>
  <si>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</si>
  <si>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</si>
  <si>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</si>
  <si>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</si>
  <si>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</si>
  <si>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</si>
  <si>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</si>
  <si>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</si>
  <si>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</si>
  <si>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</si>
  <si>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</si>
  <si>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</si>
  <si>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</si>
  <si>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</si>
  <si>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</si>
  <si>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</si>
  <si>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</si>
  <si>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</si>
  <si>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</si>
  <si>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</si>
  <si>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</si>
  <si>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</si>
  <si>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</si>
  <si>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</si>
  <si>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</si>
  <si>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</si>
  <si>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</si>
  <si>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</si>
  <si>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</si>
  <si>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</si>
  <si>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</si>
  <si>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</si>
  <si>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</si>
  <si>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</si>
  <si>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</si>
  <si>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</si>
  <si>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</si>
  <si>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</si>
  <si>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</si>
  <si>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</si>
  <si>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</si>
  <si>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</si>
  <si>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</si>
  <si>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</si>
  <si>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</si>
  <si>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</si>
  <si>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</si>
  <si>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</si>
  <si>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</si>
  <si>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</si>
  <si>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</si>
  <si>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</si>
  <si>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</si>
  <si>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</si>
  <si>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</si>
  <si>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</si>
  <si>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</si>
  <si>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</si>
  <si>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</si>
  <si>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</si>
  <si>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</si>
  <si>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</si>
  <si>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</si>
  <si>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</si>
  <si>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</si>
  <si>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</si>
  <si>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</si>
  <si>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</si>
  <si>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</si>
  <si>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</si>
  <si>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</si>
  <si>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</si>
  <si>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</si>
  <si>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</si>
  <si>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</si>
  <si>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</si>
  <si>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</si>
  <si>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</si>
  <si>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</si>
  <si>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</si>
  <si>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</si>
  <si>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</si>
  <si>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</si>
  <si>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</si>
  <si>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</si>
  <si>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</si>
  <si>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</si>
  <si>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</si>
  <si>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</si>
  <si>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</si>
  <si>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</si>
  <si>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</si>
  <si>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</si>
  <si>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</si>
  <si>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</si>
  <si>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</si>
  <si>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</si>
  <si>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</si>
  <si>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</si>
  <si>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</si>
  <si>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</si>
  <si>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</si>
  <si>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</si>
  <si>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</si>
  <si>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</si>
  <si>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</si>
  <si>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</si>
  <si>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</si>
  <si>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</si>
  <si>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</si>
  <si>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</si>
  <si>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</si>
  <si>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</si>
  <si>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</si>
  <si>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</si>
  <si>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</si>
  <si>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</si>
  <si>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</si>
  <si>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</si>
  <si>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</si>
  <si>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</si>
  <si>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</si>
  <si>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</si>
  <si>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</si>
  <si>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</si>
  <si>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</si>
  <si>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</si>
  <si>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</si>
  <si>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</si>
  <si>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</si>
  <si>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</si>
  <si>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</si>
  <si>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</si>
  <si>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</si>
  <si>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</si>
  <si>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</si>
  <si>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</si>
  <si>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</si>
  <si>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</si>
  <si>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</si>
  <si>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</si>
  <si>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</si>
  <si>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</si>
  <si>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</si>
  <si>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</si>
  <si>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</si>
  <si>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</si>
  <si>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</si>
  <si>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</si>
  <si>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</si>
  <si>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</si>
  <si>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</si>
  <si>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</si>
  <si>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</si>
  <si>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</si>
  <si>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</si>
  <si>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</si>
  <si>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</si>
  <si>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</si>
  <si>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</si>
  <si>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</si>
  <si>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</si>
  <si>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</si>
  <si>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</si>
  <si>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</si>
  <si>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</si>
  <si>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</si>
  <si>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</si>
  <si>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</si>
  <si>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</si>
  <si>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</si>
  <si>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</si>
  <si>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</si>
  <si>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</si>
  <si>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</si>
  <si>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</si>
  <si>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</si>
  <si>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</si>
  <si>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</si>
  <si>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</si>
  <si>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</si>
  <si>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</si>
  <si>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</si>
  <si>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</si>
  <si>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</si>
  <si>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</si>
  <si>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</si>
  <si>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</si>
  <si>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</si>
  <si>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</si>
  <si>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</si>
  <si>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</si>
  <si>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</si>
  <si>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</si>
  <si>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</si>
  <si>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</si>
  <si>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</si>
  <si>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</si>
  <si>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</si>
  <si>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</si>
  <si>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</si>
  <si>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</si>
  <si>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</si>
  <si>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</si>
  <si>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</si>
  <si>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</si>
  <si>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</si>
  <si>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</si>
  <si>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</si>
  <si>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</si>
  <si>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</si>
  <si>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</si>
  <si>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</si>
  <si>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</si>
  <si>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</si>
  <si>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</si>
  <si>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</si>
  <si>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</si>
  <si>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</si>
  <si>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</si>
  <si>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</si>
  <si>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</si>
  <si>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</si>
  <si>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</si>
  <si>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</si>
  <si>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</si>
  <si>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</si>
  <si>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</si>
  <si>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</si>
  <si>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</si>
  <si>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</si>
  <si>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</si>
  <si>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</si>
  <si>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</si>
  <si>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</si>
  <si>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</si>
  <si>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</si>
  <si>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</si>
  <si>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</si>
  <si>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</si>
  <si>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</si>
  <si>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</si>
  <si>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</si>
  <si>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</si>
  <si>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</si>
  <si>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</si>
  <si>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</si>
  <si>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</si>
  <si>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</si>
  <si>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</si>
  <si>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</si>
  <si>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</si>
  <si>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</si>
  <si>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</si>
  <si>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</si>
  <si>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</si>
  <si>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</si>
  <si>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</si>
  <si>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</si>
  <si>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</si>
  <si>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</si>
  <si>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</si>
  <si>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</si>
  <si>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</si>
  <si>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</si>
  <si>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</si>
  <si>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</si>
  <si>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</si>
  <si>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</si>
  <si>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</si>
  <si>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</si>
  <si>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</si>
  <si>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</si>
  <si>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</si>
  <si>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</si>
  <si>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</si>
  <si>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</si>
  <si>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</si>
  <si>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</si>
  <si>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</si>
  <si>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</si>
  <si>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</si>
  <si>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</si>
  <si>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</si>
  <si>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</si>
  <si>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</si>
  <si>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</si>
  <si>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</si>
  <si>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</si>
  <si>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</si>
  <si>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</si>
  <si>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</si>
  <si>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</si>
  <si>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</si>
  <si>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</si>
  <si>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</si>
  <si>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</si>
  <si>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</si>
  <si>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</si>
  <si>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</si>
  <si>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</si>
  <si>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</si>
  <si>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</si>
  <si>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</si>
  <si>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</si>
  <si>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</si>
  <si>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</si>
  <si>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</si>
  <si>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</si>
  <si>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</si>
  <si>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</si>
  <si>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</si>
  <si>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</si>
  <si>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</si>
  <si>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</si>
  <si>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</si>
  <si>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</si>
  <si>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</si>
  <si>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</si>
  <si>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</si>
  <si>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</si>
  <si>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</si>
  <si>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</si>
  <si>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</si>
  <si>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</si>
  <si>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</si>
  <si>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</si>
  <si>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</si>
  <si>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</si>
  <si>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</si>
  <si>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</si>
  <si>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</si>
  <si>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</si>
  <si>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</si>
  <si>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</si>
  <si>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</si>
  <si>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</si>
  <si>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</si>
  <si>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</si>
  <si>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</si>
  <si>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</si>
  <si>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</si>
  <si>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</si>
  <si>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</si>
  <si>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</si>
  <si>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</si>
  <si>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</si>
  <si>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</si>
  <si>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</si>
  <si>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</si>
  <si>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</si>
  <si>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</si>
  <si>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</si>
  <si>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</si>
  <si>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</si>
  <si>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</si>
  <si>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</si>
  <si>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</si>
  <si>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</si>
  <si>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</si>
  <si>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</si>
  <si>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</si>
  <si>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</si>
  <si>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</si>
  <si>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</si>
  <si>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</si>
  <si>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</si>
  <si>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</si>
  <si>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</si>
  <si>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</si>
  <si>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</si>
  <si>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</si>
  <si>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</si>
  <si>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</si>
  <si>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</si>
  <si>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</si>
  <si>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</si>
  <si>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</si>
  <si>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</si>
  <si>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</si>
  <si>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</si>
  <si>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</si>
  <si>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</si>
  <si>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</si>
  <si>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</si>
  <si>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</si>
  <si>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</si>
  <si>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</si>
  <si>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</si>
  <si>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</si>
  <si>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</si>
  <si>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</si>
  <si>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</si>
  <si>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</si>
  <si>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</si>
  <si>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</si>
  <si>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</si>
  <si>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</si>
  <si>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</si>
  <si>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</si>
  <si>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</si>
  <si>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</si>
  <si>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</si>
  <si>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</si>
  <si>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</si>
  <si>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</si>
  <si>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</si>
  <si>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</si>
  <si>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</si>
  <si>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</si>
  <si>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</si>
  <si>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</si>
  <si>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</si>
  <si>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</si>
  <si>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</si>
  <si>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</si>
  <si>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</si>
  <si>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</si>
  <si>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</si>
  <si>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</si>
  <si>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</si>
  <si>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</si>
  <si>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</si>
  <si>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</si>
  <si>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</si>
  <si>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</si>
  <si>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</si>
  <si>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</si>
  <si>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</si>
  <si>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</si>
  <si>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</si>
  <si>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</si>
  <si>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</si>
  <si>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</si>
  <si>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</si>
  <si>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</si>
  <si>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</si>
  <si>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</si>
  <si>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</si>
  <si>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</si>
  <si>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</si>
  <si>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</si>
  <si>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</si>
  <si>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</si>
  <si>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</si>
  <si>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</si>
  <si>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</si>
  <si>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</si>
  <si>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</si>
  <si>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</si>
  <si>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</si>
  <si>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</si>
  <si>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</si>
  <si>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</si>
  <si>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</si>
  <si>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</si>
  <si>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</si>
  <si>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</si>
  <si>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</si>
  <si>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</si>
  <si>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</si>
  <si>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</si>
  <si>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</si>
  <si>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</si>
  <si>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</si>
  <si>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</si>
  <si>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</si>
  <si>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</si>
  <si>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</si>
  <si>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</si>
  <si>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</si>
  <si>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</si>
  <si>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</si>
  <si>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</si>
  <si>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</si>
  <si>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</si>
  <si>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</si>
  <si>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</si>
  <si>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</si>
  <si>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</si>
  <si>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</si>
  <si>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</si>
  <si>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</si>
  <si>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</si>
  <si>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</si>
  <si>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</si>
  <si>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</si>
  <si>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</si>
  <si>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</si>
  <si>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</si>
  <si>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</si>
  <si>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</si>
  <si>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</si>
  <si>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</si>
  <si>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</si>
  <si>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</si>
  <si>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</si>
  <si>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</si>
  <si>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</si>
  <si>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</si>
  <si>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</si>
  <si>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</si>
  <si>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</si>
  <si>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</si>
  <si>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</si>
  <si>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</si>
  <si>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</si>
  <si>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</si>
  <si>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</si>
  <si>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</si>
  <si>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</si>
  <si>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</si>
  <si>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</si>
  <si>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</si>
  <si>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</si>
  <si>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</si>
  <si>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</si>
  <si>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</si>
  <si>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</si>
  <si>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</si>
  <si>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</si>
  <si>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</si>
  <si>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</si>
  <si>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</si>
  <si>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</si>
  <si>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</si>
  <si>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</si>
  <si>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</si>
  <si>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</si>
  <si>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</si>
  <si>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</si>
  <si>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</si>
  <si>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</si>
  <si>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</si>
  <si>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</si>
  <si>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</si>
  <si>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</si>
  <si>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</si>
  <si>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</si>
  <si>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</si>
  <si>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</si>
  <si>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</si>
  <si>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</si>
  <si>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</si>
  <si>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</si>
  <si>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</si>
  <si>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</si>
  <si>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</si>
  <si>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</si>
  <si>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</si>
  <si>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</si>
  <si>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</si>
  <si>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</si>
  <si>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</si>
  <si>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</si>
  <si>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</si>
  <si>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</si>
  <si>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</si>
  <si>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</si>
  <si>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</si>
  <si>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</si>
  <si>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</si>
  <si>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</si>
  <si>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</si>
  <si>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</si>
  <si>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</si>
  <si>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</si>
  <si>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</si>
  <si>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</si>
  <si>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</si>
  <si>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</si>
  <si>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</si>
  <si>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</si>
  <si>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</si>
  <si>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</si>
  <si>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</si>
  <si>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</si>
  <si>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</si>
  <si>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</si>
  <si>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</si>
  <si>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</si>
  <si>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</si>
  <si>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</si>
  <si>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</si>
  <si>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</si>
  <si>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</si>
  <si>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</si>
  <si>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</si>
  <si>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</si>
  <si>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</si>
  <si>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</si>
  <si>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</si>
  <si>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</si>
  <si>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</si>
  <si>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</si>
  <si>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</si>
  <si>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</si>
  <si>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</si>
  <si>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</si>
  <si>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</si>
  <si>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</si>
  <si>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</si>
  <si>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</si>
  <si>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</si>
  <si>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</si>
  <si>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</si>
  <si>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</si>
  <si>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</si>
  <si>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</si>
  <si>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</si>
  <si>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</si>
  <si>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</si>
  <si>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</si>
  <si>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</si>
  <si>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</si>
  <si>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</si>
  <si>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</si>
  <si>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</si>
  <si>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</si>
  <si>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</si>
  <si>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</si>
  <si>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</si>
  <si>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</si>
  <si>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</si>
  <si>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</si>
  <si>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</si>
  <si>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</si>
  <si>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</si>
  <si>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</si>
  <si>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</si>
  <si>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</si>
  <si>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</si>
  <si>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</si>
  <si>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</si>
  <si>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</si>
  <si>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</si>
  <si>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</si>
  <si>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</si>
  <si>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</si>
  <si>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</si>
  <si>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</si>
  <si>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</si>
  <si>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</si>
  <si>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</si>
  <si>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</si>
  <si>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</si>
  <si>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</si>
  <si>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</si>
  <si>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</si>
  <si>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</si>
  <si>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</si>
  <si>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</si>
  <si>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</si>
  <si>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</si>
  <si>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</si>
  <si>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</si>
  <si>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</si>
  <si>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</si>
  <si>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</si>
  <si>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</si>
  <si>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</si>
  <si>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</si>
  <si>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</si>
  <si>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</si>
  <si>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</si>
  <si>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</si>
  <si>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</si>
  <si>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</si>
  <si>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</si>
  <si>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</si>
  <si>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</si>
  <si>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</si>
  <si>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</si>
  <si>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</si>
  <si>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</si>
  <si>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</si>
  <si>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</si>
  <si>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</si>
  <si>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</si>
  <si>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</si>
  <si>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</si>
  <si>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</si>
  <si>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</si>
  <si>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</si>
  <si>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</si>
  <si>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</si>
  <si>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</si>
  <si>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</si>
  <si>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</si>
  <si>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</si>
  <si>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</si>
  <si>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</si>
  <si>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</si>
  <si>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</si>
  <si>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</si>
  <si>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</si>
  <si>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</si>
  <si>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</si>
  <si>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</si>
  <si>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</si>
  <si>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</si>
  <si>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</si>
  <si>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</si>
  <si>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</si>
  <si>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</si>
  <si>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</si>
  <si>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</si>
  <si>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</si>
  <si>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</si>
  <si>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</si>
  <si>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</si>
  <si>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</si>
  <si>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</si>
  <si>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</si>
  <si>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</si>
  <si>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</si>
  <si>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</si>
  <si>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</si>
  <si>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</si>
  <si>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</si>
  <si>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</si>
  <si>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</si>
  <si>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</si>
  <si>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</si>
  <si>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</si>
  <si>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</si>
  <si>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</si>
  <si>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</si>
  <si>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</si>
  <si>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</si>
  <si>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</si>
  <si>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</si>
  <si>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</si>
  <si>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</si>
  <si>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</si>
  <si>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</si>
  <si>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</si>
  <si>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</si>
  <si>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</si>
  <si>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</si>
  <si>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</si>
  <si>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</si>
  <si>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</si>
  <si>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</si>
  <si>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</si>
  <si>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</si>
  <si>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</si>
  <si>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</si>
  <si>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</si>
  <si>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</si>
  <si>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</si>
  <si>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</si>
  <si>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</si>
  <si>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</si>
  <si>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</si>
  <si>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</si>
  <si>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</si>
  <si>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</si>
  <si>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</si>
  <si>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</si>
  <si>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</si>
  <si>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</si>
  <si>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</si>
  <si>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</si>
  <si>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</si>
  <si>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</si>
  <si>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</si>
  <si>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</si>
  <si>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</si>
  <si>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</si>
  <si>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</si>
  <si>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</si>
  <si>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</si>
  <si>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</si>
  <si>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</si>
  <si>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</si>
  <si>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</si>
  <si>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</si>
  <si>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</si>
  <si>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</si>
  <si>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</si>
  <si>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</si>
  <si>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</si>
  <si>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</si>
  <si>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</si>
  <si>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</si>
  <si>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</si>
  <si>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</si>
  <si>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</si>
  <si>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</si>
  <si>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</si>
  <si>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</si>
  <si>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</si>
  <si>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</si>
  <si>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</si>
  <si>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</si>
  <si>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</si>
  <si>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</si>
  <si>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</si>
  <si>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</si>
  <si>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</si>
  <si>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</si>
  <si>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</si>
  <si>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</si>
  <si>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</si>
  <si>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</si>
  <si>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</si>
  <si>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</si>
  <si>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</si>
  <si>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</si>
  <si>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</si>
  <si>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</si>
  <si>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</si>
  <si>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</si>
  <si>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</si>
  <si>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</si>
  <si>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</si>
  <si>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</si>
  <si>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</si>
  <si>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</si>
  <si>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</si>
  <si>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</si>
  <si>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</si>
  <si>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</si>
  <si>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</si>
  <si>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</si>
  <si>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</si>
  <si>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</si>
  <si>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</si>
  <si>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</si>
  <si>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</si>
  <si>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</si>
  <si>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</si>
  <si>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</si>
  <si>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</si>
  <si>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</si>
  <si>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</si>
  <si>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</si>
  <si>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</si>
  <si>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</si>
  <si>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</si>
  <si>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</si>
  <si>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</si>
  <si>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</si>
  <si>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</si>
  <si>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</si>
  <si>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</si>
  <si>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</si>
  <si>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</si>
  <si>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</si>
  <si>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</si>
  <si>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</si>
  <si>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</si>
  <si>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</si>
  <si>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</si>
  <si>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</si>
  <si>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</si>
  <si>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</si>
  <si>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</si>
  <si>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</si>
  <si>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</si>
  <si>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</si>
  <si>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</si>
  <si>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</si>
  <si>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</si>
  <si>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</si>
  <si>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</si>
  <si>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</si>
  <si>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</si>
  <si>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</si>
  <si>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</si>
  <si>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</si>
  <si>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</si>
  <si>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</si>
  <si>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</si>
  <si>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</si>
  <si>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</si>
  <si>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</si>
  <si>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</si>
  <si>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</si>
  <si>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</si>
  <si>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</si>
  <si>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</si>
  <si>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</si>
  <si>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</si>
  <si>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</si>
  <si>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</si>
  <si>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</si>
  <si>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</si>
  <si>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</si>
  <si>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</si>
  <si>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</si>
  <si>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</si>
  <si>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</si>
  <si>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</si>
  <si>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</si>
  <si>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</si>
  <si>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</si>
  <si>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</si>
  <si>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</si>
  <si>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</si>
  <si>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</si>
  <si>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</si>
  <si>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</si>
  <si>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</si>
  <si>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</si>
  <si>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</si>
  <si>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</si>
  <si>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</si>
  <si>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</si>
  <si>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</si>
  <si>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</si>
  <si>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</si>
  <si>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</si>
  <si>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</si>
  <si>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</si>
  <si>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</si>
  <si>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</si>
  <si>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</si>
  <si>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</si>
  <si>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</si>
  <si>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</si>
  <si>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</si>
  <si>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</si>
  <si>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</si>
  <si>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</si>
  <si>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</si>
  <si>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</si>
  <si>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</si>
  <si>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</si>
  <si>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</si>
  <si>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</si>
  <si>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</si>
  <si>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</si>
  <si>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</si>
  <si>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</si>
  <si>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</si>
  <si>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</si>
  <si>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</si>
  <si>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</si>
  <si>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</si>
  <si>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</si>
  <si>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</si>
  <si>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</si>
  <si>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</si>
  <si>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</si>
  <si>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</si>
  <si>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</si>
  <si>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</si>
  <si>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</si>
  <si>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</si>
  <si>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</si>
  <si>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</si>
  <si>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</si>
  <si>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</si>
  <si>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</si>
  <si>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</si>
  <si>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</si>
  <si>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</si>
  <si>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</si>
  <si>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</si>
  <si>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</si>
  <si>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</si>
  <si>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</si>
  <si>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</si>
  <si>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</si>
  <si>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</si>
  <si>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</si>
  <si>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</si>
  <si>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</si>
  <si>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</si>
  <si>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</si>
  <si>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</si>
  <si>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</si>
  <si>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</si>
  <si>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</si>
  <si>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</si>
  <si>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</si>
  <si>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</si>
  <si>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</si>
  <si>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</si>
  <si>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</si>
  <si>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</si>
  <si>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</si>
  <si>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</si>
  <si>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</si>
  <si>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</si>
  <si>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</si>
  <si>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</si>
  <si>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</si>
  <si>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</si>
  <si>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</si>
  <si>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</si>
  <si>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</si>
  <si>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</si>
  <si>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</si>
  <si>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</si>
  <si>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</si>
  <si>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</si>
  <si>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</si>
  <si>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</si>
  <si>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</si>
  <si>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</si>
  <si>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</si>
  <si>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</si>
  <si>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</si>
  <si>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</si>
  <si>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</si>
  <si>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</si>
  <si>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</si>
  <si>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</si>
  <si>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</si>
  <si>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</si>
  <si>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</si>
  <si>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</si>
  <si>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</si>
  <si>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</si>
  <si>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</si>
  <si>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</si>
  <si>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</si>
  <si>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</si>
  <si>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</si>
  <si>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</si>
  <si>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</si>
  <si>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</si>
  <si>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</si>
  <si>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</si>
  <si>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</si>
  <si>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</si>
  <si>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</si>
  <si>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</si>
  <si>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</si>
  <si>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</si>
  <si>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</si>
  <si>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</si>
  <si>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</si>
  <si>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</si>
  <si>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</si>
  <si>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</si>
  <si>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</si>
  <si>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</si>
  <si>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</si>
  <si>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</si>
  <si>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</si>
  <si>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</si>
  <si>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</si>
  <si>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</si>
  <si>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</si>
  <si>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</si>
  <si>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</si>
  <si>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</si>
  <si>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</si>
  <si>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</si>
  <si>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</si>
  <si>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</si>
  <si>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</si>
  <si>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</si>
  <si>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</si>
  <si>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</si>
  <si>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</si>
  <si>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</si>
  <si>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</si>
  <si>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</si>
  <si>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</si>
  <si>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</si>
  <si>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</si>
  <si>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</si>
  <si>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</si>
  <si>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</si>
  <si>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</si>
  <si>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</si>
  <si>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</si>
  <si>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</si>
  <si>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</si>
  <si>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</si>
  <si>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</si>
  <si>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</si>
  <si>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</si>
  <si>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</si>
  <si>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</si>
  <si>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</si>
  <si>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</si>
  <si>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</si>
  <si>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</si>
  <si>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</si>
  <si>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</si>
  <si>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</si>
  <si>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</si>
  <si>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</si>
  <si>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</si>
  <si>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</si>
  <si>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</si>
  <si>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</si>
  <si>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</si>
  <si>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</si>
  <si>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</si>
  <si>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</si>
  <si>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</si>
  <si>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</si>
  <si>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</si>
  <si>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</si>
  <si>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</si>
  <si>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</si>
  <si>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</si>
  <si>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</si>
  <si>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</si>
  <si>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</si>
  <si>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</si>
  <si>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</si>
  <si>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</si>
  <si>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</si>
  <si>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</si>
  <si>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</si>
  <si>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</si>
  <si>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</si>
  <si>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</si>
  <si>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</si>
  <si>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</si>
  <si>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</si>
  <si>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</si>
  <si>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</si>
  <si>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</si>
  <si>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</si>
  <si>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</si>
  <si>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</si>
  <si>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</si>
  <si>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</si>
  <si>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</si>
  <si>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</si>
  <si>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</si>
  <si>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</si>
  <si>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</si>
  <si>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</si>
  <si>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</si>
  <si>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</si>
  <si>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</si>
  <si>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</si>
  <si>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</si>
  <si>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</si>
  <si>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</si>
  <si>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</si>
  <si>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</si>
  <si>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</si>
  <si>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</si>
  <si>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</si>
  <si>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</si>
  <si>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</si>
  <si>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</si>
  <si>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</si>
  <si>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</si>
  <si>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</si>
  <si>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</si>
  <si>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</si>
  <si>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</si>
  <si>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</si>
  <si>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</si>
  <si>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</si>
  <si>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</si>
  <si>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</si>
  <si>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</si>
  <si>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</si>
  <si>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</si>
  <si>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</si>
  <si>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</si>
  <si>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</si>
  <si>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</si>
  <si>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</si>
  <si>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</si>
  <si>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</si>
  <si>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</si>
  <si>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</si>
  <si>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</si>
  <si>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</si>
  <si>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</si>
  <si>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</si>
  <si>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</si>
  <si>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</si>
  <si>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</si>
  <si>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</si>
  <si>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</si>
  <si>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</si>
  <si>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</si>
  <si>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</si>
  <si>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</si>
  <si>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</si>
  <si>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</si>
  <si>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</si>
  <si>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</si>
  <si>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</si>
  <si>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</si>
  <si>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</si>
  <si>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</si>
  <si>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</si>
  <si>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</si>
  <si>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</si>
  <si>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</si>
  <si>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</si>
  <si>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</si>
  <si>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</si>
  <si>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</si>
  <si>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</si>
  <si>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</si>
  <si>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</si>
  <si>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</si>
  <si>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</si>
  <si>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</si>
  <si>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</si>
  <si>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</si>
  <si>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</si>
  <si>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</si>
  <si>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</si>
  <si>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</si>
  <si>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</si>
  <si>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</si>
  <si>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</si>
  <si>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</si>
  <si>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</si>
  <si>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</si>
  <si>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</si>
  <si>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</si>
  <si>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</si>
  <si>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</si>
  <si>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</si>
  <si>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</si>
  <si>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</si>
  <si>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</si>
  <si>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</si>
  <si>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</si>
  <si>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</si>
  <si>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</si>
  <si>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</si>
  <si>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</si>
  <si>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</si>
  <si>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</si>
  <si>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</si>
  <si>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</si>
  <si>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</si>
  <si>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</si>
  <si>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</si>
  <si>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</si>
  <si>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</si>
  <si>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</si>
  <si>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</si>
  <si>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</si>
  <si>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</si>
  <si>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</si>
  <si>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</si>
  <si>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</si>
  <si>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</si>
  <si>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</si>
  <si>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</si>
  <si>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</si>
  <si>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</si>
  <si>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</si>
  <si>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</si>
  <si>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</si>
  <si>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</si>
  <si>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</si>
  <si>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</si>
  <si>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</si>
  <si>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</si>
  <si>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</si>
  <si>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</si>
  <si>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</si>
  <si>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</si>
  <si>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</si>
  <si>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</si>
  <si>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</si>
  <si>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</si>
  <si>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</si>
  <si>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</si>
  <si>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</si>
  <si>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</si>
  <si>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</si>
  <si>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</si>
  <si>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</si>
  <si>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</si>
  <si>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</si>
  <si>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</si>
  <si>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</si>
  <si>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</si>
  <si>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</si>
  <si>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</si>
  <si>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</si>
  <si>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</si>
  <si>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</si>
  <si>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</si>
  <si>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</si>
  <si>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</si>
  <si>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</si>
  <si>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</si>
  <si>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</si>
  <si>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</si>
  <si>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</si>
  <si>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</si>
  <si>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</si>
  <si>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</si>
  <si>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</si>
  <si>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</si>
  <si>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</si>
  <si>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</si>
  <si>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</si>
  <si>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</si>
  <si>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</si>
  <si>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</si>
  <si>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</si>
  <si>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</si>
  <si>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</si>
  <si>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</si>
  <si>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</si>
  <si>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</si>
  <si>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</si>
  <si>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</si>
  <si>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</si>
  <si>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</si>
  <si>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</si>
  <si>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</si>
  <si>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</si>
  <si>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</si>
  <si>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</si>
  <si>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</si>
  <si>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</si>
  <si>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</si>
  <si>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</si>
  <si>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</si>
  <si>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</si>
  <si>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</si>
  <si>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</si>
  <si>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</si>
  <si>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</si>
  <si>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</si>
  <si>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</si>
  <si>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</si>
  <si>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</si>
  <si>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</si>
  <si>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</si>
  <si>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</si>
  <si>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</si>
  <si>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</si>
  <si>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</si>
  <si>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</si>
  <si>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</si>
  <si>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</si>
  <si>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</si>
  <si>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</si>
  <si>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</si>
  <si>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</si>
  <si>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</si>
  <si>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</si>
  <si>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</si>
  <si>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</si>
  <si>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</si>
  <si>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</si>
  <si>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</si>
  <si>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</si>
  <si>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</si>
  <si>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</si>
  <si>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</si>
  <si>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</si>
  <si>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</si>
  <si>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</si>
  <si>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</si>
  <si>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</si>
  <si>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</si>
  <si>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</si>
  <si>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</si>
  <si>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</si>
  <si>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</si>
  <si>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</si>
  <si>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</si>
  <si>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</si>
  <si>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</si>
  <si>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</si>
  <si>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</si>
  <si>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</si>
  <si>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</si>
  <si>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</si>
  <si>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</si>
  <si>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</si>
  <si>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</si>
  <si>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</si>
  <si>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</si>
  <si>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</si>
  <si>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</si>
  <si>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</si>
  <si>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</si>
  <si>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</si>
  <si>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</si>
  <si>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</si>
  <si>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</si>
  <si>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</si>
  <si>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</si>
  <si>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</si>
  <si>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</si>
  <si>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</si>
  <si>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</si>
  <si>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</si>
  <si>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</si>
  <si>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</si>
  <si>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</si>
  <si>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</si>
  <si>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</si>
  <si>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</si>
  <si>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</si>
  <si>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</si>
  <si>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</si>
  <si>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</si>
  <si>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</si>
  <si>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</si>
  <si>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</si>
  <si>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</si>
  <si>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</si>
  <si>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</si>
  <si>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</si>
  <si>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</si>
  <si>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</si>
  <si>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</si>
  <si>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</si>
  <si>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</si>
  <si>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</si>
  <si>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</si>
  <si>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</si>
  <si>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</si>
  <si>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</si>
  <si>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</si>
  <si>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</si>
  <si>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</si>
  <si>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</si>
  <si>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</si>
  <si>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</si>
  <si>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</si>
  <si>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</si>
  <si>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</si>
  <si>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</si>
  <si>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</si>
  <si>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</si>
  <si>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</si>
  <si>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</si>
  <si>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</si>
  <si>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</si>
  <si>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</si>
  <si>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</si>
  <si>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</si>
  <si>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</si>
  <si>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</si>
  <si>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</si>
  <si>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</si>
  <si>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</si>
  <si>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</si>
  <si>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</si>
  <si>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</si>
  <si>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</si>
  <si>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</si>
  <si>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</si>
  <si>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</si>
  <si>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</si>
  <si>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</si>
  <si>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</si>
  <si>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</si>
  <si>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</si>
  <si>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</si>
  <si>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</si>
  <si>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</si>
  <si>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</si>
  <si>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</si>
  <si>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</si>
  <si>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</si>
  <si>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</si>
  <si>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</si>
  <si>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</si>
  <si>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</si>
  <si>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</si>
  <si>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</si>
  <si>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</si>
  <si>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</si>
  <si>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</si>
  <si>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</si>
  <si>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</si>
  <si>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</si>
  <si>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</si>
  <si>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</si>
  <si>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</si>
  <si>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</si>
  <si>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</si>
  <si>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</si>
  <si>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</si>
  <si>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</si>
  <si>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</si>
  <si>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</si>
  <si>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</si>
  <si>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</si>
  <si>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</si>
  <si>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</si>
  <si>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</si>
  <si>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</si>
  <si>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</si>
  <si>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</si>
  <si>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</si>
  <si>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</si>
  <si>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</si>
  <si>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</si>
  <si>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</si>
  <si>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</si>
  <si>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</si>
  <si>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</si>
  <si>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</si>
  <si>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</si>
  <si>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</si>
  <si>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</si>
  <si>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</si>
  <si>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</si>
  <si>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</si>
  <si>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</si>
  <si>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</si>
  <si>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</si>
  <si>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</si>
  <si>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</si>
  <si>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</si>
  <si>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</si>
  <si>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</si>
  <si>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</si>
  <si>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</si>
  <si>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</si>
  <si>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</si>
  <si>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</si>
  <si>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</si>
  <si>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</si>
  <si>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</si>
  <si>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</si>
  <si>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</si>
  <si>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</si>
  <si>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</si>
  <si>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</si>
  <si>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</si>
  <si>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</si>
  <si>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</si>
  <si>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</si>
  <si>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</si>
  <si>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</si>
  <si>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</si>
  <si>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</si>
  <si>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</si>
  <si>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</si>
  <si>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</si>
  <si>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</si>
  <si>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</si>
  <si>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</si>
  <si>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</si>
  <si>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</si>
  <si>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</si>
  <si>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</si>
  <si>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</si>
  <si>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</si>
  <si>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</si>
  <si>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</si>
  <si>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</si>
  <si>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</si>
  <si>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</si>
  <si>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</si>
  <si>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</si>
  <si>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</si>
  <si>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</si>
  <si>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</si>
  <si>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</si>
  <si>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</si>
  <si>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</si>
  <si>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</si>
  <si>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</si>
  <si>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</si>
  <si>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</si>
  <si>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</si>
  <si>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</si>
  <si>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</si>
  <si>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</si>
  <si>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</si>
  <si>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</si>
  <si>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</si>
  <si>
    <t>X</t>
  </si>
  <si>
    <t>Heidrun Niedner, Albrecht Dürer Stein</t>
  </si>
  <si>
    <t>Christine Herderich, Kleeblatt Fürth</t>
  </si>
  <si>
    <t>Ines Lüdecke, Phönix Lauf (EDV-Nr. 29621), unter Starter nachgetragen, Ligaprogramm findet Datenquelle aber nicht und zerschießt die Spielzettel Anzeige. Ergebnisse und Tagestabelle stimmen 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</si>
</sst>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400">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0" fillId="0" borderId="0" xfId="0" applyProtection="1">
      <protection locked="0"/>
    </xf>
    <xf numFmtId="0" fontId="31" fillId="0" borderId="0" xfId="0" applyFont="1" applyAlignment="1">
      <alignment horizontal="left"/>
    </xf>
    <xf numFmtId="0" fontId="31" fillId="0" borderId="0" xfId="0" applyFont="1" applyAlignment="1">
      <alignment horizont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34"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14" fontId="7" fillId="0" borderId="0" xfId="0" applyNumberFormat="1"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60" xfId="0"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4" fontId="7" fillId="0" borderId="0" xfId="0" applyNumberFormat="1" applyFont="1" applyAlignment="1">
      <alignment horizontal="center"/>
    </xf>
    <xf numFmtId="0" fontId="22"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xr:uid="{00000000-0005-0000-0000-000000000000}"/>
    <cellStyle name="Komma 2" xfId="2" xr:uid="{00000000-0005-0000-0000-000001000000}"/>
    <cellStyle name="Standard" xfId="0" builtinId="0"/>
    <cellStyle name="Standard 2" xfId="3" xr:uid="{00000000-0005-0000-0000-000003000000}"/>
    <cellStyle name="Standard 2 3" xfId="4" xr:uid="{00000000-0005-0000-0000-000004000000}"/>
    <cellStyle name="Standard 5" xfId="5" xr:uid="{00000000-0005-0000-0000-000005000000}"/>
    <cellStyle name="Standard 7" xfId="6" xr:uid="{00000000-0005-0000-0000-000006000000}"/>
    <cellStyle name="Standard 8" xfId="10" xr:uid="{F902BF16-397F-440A-904D-AA840B1ED8DC}"/>
    <cellStyle name="Standard_BM Jugend Do 2008" xfId="7" xr:uid="{00000000-0005-0000-0000-000007000000}"/>
    <cellStyle name="Währung 2" xfId="8" xr:uid="{00000000-0005-0000-0000-000008000000}"/>
    <cellStyle name="Währung 2 2" xfId="9"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xdr:colOff>
          <xdr:row>6</xdr:row>
          <xdr:rowOff>99060</xdr:rowOff>
        </xdr:from>
        <xdr:to>
          <xdr:col>13</xdr:col>
          <xdr:colOff>129540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xdr:row>
          <xdr:rowOff>114300</xdr:rowOff>
        </xdr:from>
        <xdr:to>
          <xdr:col>13</xdr:col>
          <xdr:colOff>137160</xdr:colOff>
          <xdr:row>10</xdr:row>
          <xdr:rowOff>15240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0</xdr:rowOff>
        </xdr:from>
        <xdr:to>
          <xdr:col>13</xdr:col>
          <xdr:colOff>137160</xdr:colOff>
          <xdr:row>12</xdr:row>
          <xdr:rowOff>68580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97bf6d2a9305fdc/Desktop/Liga%202425/Kopie%20von%20aktive_240813.xls" TargetMode="External"/><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
  <sheetViews>
    <sheetView showGridLines="0" zoomScaleNormal="100" zoomScaleSheetLayoutView="100" workbookViewId="0">
      <selection activeCell="A2" sqref="A2:IV2"/>
    </sheetView>
  </sheetViews>
  <sheetFormatPr baseColWidth="10" defaultRowHeight="13.8" x14ac:dyDescent="0.25"/>
  <cols>
    <col min="1" max="1" width="11.44140625" style="232" bestFit="1" customWidth="1"/>
    <col min="2" max="2" width="17.109375" style="233" customWidth="1"/>
    <col min="3" max="3" width="62.88671875" style="233" customWidth="1"/>
  </cols>
  <sheetData>
    <row r="1" spans="1:3" x14ac:dyDescent="0.25">
      <c r="A1" s="230" t="s">
        <v>1821</v>
      </c>
      <c r="B1" s="231" t="s">
        <v>2087</v>
      </c>
      <c r="C1" s="231" t="str">
        <f>"Prüfung / Änderung "&amp;TEXT(MAX(A:A),"TT.MM.JJJJ")</f>
        <v>Prüfung / Änderung 25.07.2024</v>
      </c>
    </row>
    <row r="2" spans="1:3" hidden="1" x14ac:dyDescent="0.25">
      <c r="A2" s="232">
        <v>45498</v>
      </c>
      <c r="C2" s="233" t="s">
        <v>2412</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30" sqref="C30"/>
    </sheetView>
  </sheetViews>
  <sheetFormatPr baseColWidth="10" defaultRowHeight="13.2" x14ac:dyDescent="0.25"/>
  <cols>
    <col min="1" max="1" width="4.5546875" style="6" customWidth="1"/>
    <col min="2" max="2" width="15" style="6" customWidth="1"/>
    <col min="3" max="3" width="28.5546875" customWidth="1"/>
    <col min="5" max="5" width="11.44140625" customWidth="1"/>
  </cols>
  <sheetData>
    <row r="1" spans="1:5" x14ac:dyDescent="0.25">
      <c r="A1" s="6">
        <v>1</v>
      </c>
      <c r="B1" s="276" t="s">
        <v>2415</v>
      </c>
      <c r="C1" s="51" t="s">
        <v>1943</v>
      </c>
      <c r="E1" t="s">
        <v>1934</v>
      </c>
    </row>
    <row r="2" spans="1:5" x14ac:dyDescent="0.25">
      <c r="A2" s="6">
        <v>2</v>
      </c>
      <c r="B2" s="276" t="s">
        <v>2414</v>
      </c>
      <c r="C2" s="51" t="s">
        <v>1943</v>
      </c>
      <c r="E2" t="s">
        <v>1935</v>
      </c>
    </row>
    <row r="3" spans="1:5" x14ac:dyDescent="0.25">
      <c r="A3" s="6">
        <v>3</v>
      </c>
      <c r="B3" s="276" t="s">
        <v>2416</v>
      </c>
      <c r="C3" s="51" t="s">
        <v>1943</v>
      </c>
      <c r="E3" t="s">
        <v>1933</v>
      </c>
    </row>
    <row r="4" spans="1:5" x14ac:dyDescent="0.25">
      <c r="A4" s="6">
        <v>4</v>
      </c>
      <c r="B4" s="276" t="s">
        <v>2417</v>
      </c>
      <c r="C4" s="51" t="s">
        <v>1943</v>
      </c>
      <c r="E4" t="s">
        <v>1936</v>
      </c>
    </row>
    <row r="5" spans="1:5" x14ac:dyDescent="0.25">
      <c r="A5" s="6">
        <v>5</v>
      </c>
      <c r="B5" s="276" t="s">
        <v>2418</v>
      </c>
      <c r="C5" s="51" t="s">
        <v>1943</v>
      </c>
      <c r="E5" t="s">
        <v>1952</v>
      </c>
    </row>
    <row r="6" spans="1:5" x14ac:dyDescent="0.25">
      <c r="A6" s="6">
        <v>6</v>
      </c>
      <c r="B6" s="276" t="s">
        <v>2419</v>
      </c>
      <c r="C6" s="51" t="s">
        <v>1943</v>
      </c>
      <c r="E6" t="s">
        <v>1937</v>
      </c>
    </row>
    <row r="7" spans="1:5" x14ac:dyDescent="0.25">
      <c r="E7" t="s">
        <v>1938</v>
      </c>
    </row>
    <row r="8" spans="1:5" x14ac:dyDescent="0.25">
      <c r="E8" t="s">
        <v>1939</v>
      </c>
    </row>
    <row r="9" spans="1:5" x14ac:dyDescent="0.25">
      <c r="E9" t="s">
        <v>1940</v>
      </c>
    </row>
    <row r="10" spans="1:5" x14ac:dyDescent="0.25">
      <c r="E10" t="s">
        <v>1941</v>
      </c>
    </row>
    <row r="11" spans="1:5" x14ac:dyDescent="0.25">
      <c r="E11" t="s">
        <v>1942</v>
      </c>
    </row>
    <row r="12" spans="1:5" x14ac:dyDescent="0.25">
      <c r="E12" t="s">
        <v>1943</v>
      </c>
    </row>
    <row r="13" spans="1:5" x14ac:dyDescent="0.25">
      <c r="E13" t="s">
        <v>1944</v>
      </c>
    </row>
    <row r="14" spans="1:5" x14ac:dyDescent="0.25">
      <c r="E14" t="s">
        <v>1945</v>
      </c>
    </row>
    <row r="15" spans="1:5" x14ac:dyDescent="0.25">
      <c r="E15" t="s">
        <v>1946</v>
      </c>
    </row>
    <row r="16" spans="1:5" x14ac:dyDescent="0.25">
      <c r="E16" t="s">
        <v>1947</v>
      </c>
    </row>
    <row r="17" spans="1:5" x14ac:dyDescent="0.25">
      <c r="E17" t="s">
        <v>1948</v>
      </c>
    </row>
    <row r="18" spans="1:5" x14ac:dyDescent="0.25">
      <c r="A18" s="298" t="s">
        <v>2051</v>
      </c>
      <c r="B18" s="298"/>
      <c r="C18" s="201" t="s">
        <v>2413</v>
      </c>
      <c r="E18" t="s">
        <v>1949</v>
      </c>
    </row>
    <row r="19" spans="1:5" x14ac:dyDescent="0.25">
      <c r="E19" t="s">
        <v>1950</v>
      </c>
    </row>
    <row r="20" spans="1:5" x14ac:dyDescent="0.25">
      <c r="A20" s="299" t="s">
        <v>2052</v>
      </c>
      <c r="B20" s="299"/>
      <c r="E20" t="s">
        <v>1951</v>
      </c>
    </row>
    <row r="21" spans="1:5" x14ac:dyDescent="0.25">
      <c r="A21" s="202">
        <v>3</v>
      </c>
      <c r="B21" s="201" t="s">
        <v>1801</v>
      </c>
    </row>
    <row r="22" spans="1:5" x14ac:dyDescent="0.25">
      <c r="A22" s="202">
        <v>6</v>
      </c>
      <c r="B22" s="203" t="s">
        <v>2053</v>
      </c>
    </row>
    <row r="23" spans="1:5" x14ac:dyDescent="0.25">
      <c r="A23" s="202">
        <v>6</v>
      </c>
      <c r="B23" s="203" t="s">
        <v>2054</v>
      </c>
    </row>
  </sheetData>
  <mergeCells count="2">
    <mergeCell ref="A18:B18"/>
    <mergeCell ref="A20:B20"/>
  </mergeCells>
  <dataValidations count="1">
    <dataValidation type="list" allowBlank="1" showInputMessage="1" showErrorMessage="1" sqref="C1:C6" xr:uid="{00000000-0002-0000-0100-000000000000}">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dimension ref="A1:DR19"/>
  <sheetViews>
    <sheetView zoomScaleNormal="100" workbookViewId="0">
      <pane xSplit="2" ySplit="4" topLeftCell="CK5" activePane="bottomRight" state="frozen"/>
      <selection activeCell="C3" sqref="C3:J3"/>
      <selection pane="topRight" activeCell="C3" sqref="C3:J3"/>
      <selection pane="bottomLeft" activeCell="C3" sqref="C3:J3"/>
      <selection pane="bottomRight" activeCell="BN20" sqref="BN20"/>
    </sheetView>
  </sheetViews>
  <sheetFormatPr baseColWidth="10" defaultRowHeight="13.2" x14ac:dyDescent="0.25"/>
  <cols>
    <col min="1" max="1" width="3.88671875" customWidth="1"/>
    <col min="2" max="2" width="28.109375" style="6" customWidth="1"/>
    <col min="3" max="11" width="3.5546875" customWidth="1"/>
    <col min="12" max="12" width="3.5546875" style="24" customWidth="1"/>
    <col min="13" max="21" width="3.5546875" customWidth="1"/>
    <col min="22" max="22" width="5.5546875" customWidth="1"/>
    <col min="23" max="31" width="3.5546875" customWidth="1"/>
    <col min="32" max="32" width="3.5546875" style="24" customWidth="1"/>
    <col min="33" max="41" width="3.5546875" customWidth="1"/>
    <col min="42" max="42" width="5.5546875" customWidth="1"/>
    <col min="43" max="51" width="3.5546875" customWidth="1"/>
    <col min="52" max="52" width="3.5546875" style="24" customWidth="1"/>
    <col min="53" max="61" width="3.5546875" customWidth="1"/>
    <col min="62" max="62" width="5.5546875" customWidth="1"/>
    <col min="63" max="71" width="3.5546875" customWidth="1"/>
    <col min="72" max="72" width="3.5546875" style="24" customWidth="1"/>
    <col min="73" max="81" width="3.5546875" customWidth="1"/>
    <col min="82" max="82" width="5.5546875" customWidth="1"/>
    <col min="83" max="91" width="3.5546875" customWidth="1"/>
    <col min="92" max="92" width="3.5546875" style="24" customWidth="1"/>
    <col min="93" max="101" width="3.5546875" customWidth="1"/>
    <col min="102" max="102" width="5.5546875" customWidth="1"/>
    <col min="103" max="111" width="3.5546875" customWidth="1"/>
    <col min="112" max="112" width="3.5546875" style="24" customWidth="1"/>
    <col min="113" max="121" width="3.5546875" customWidth="1"/>
    <col min="122" max="122" width="5.5546875" customWidth="1"/>
  </cols>
  <sheetData>
    <row r="1" spans="1:122" ht="24" customHeight="1" x14ac:dyDescent="0.25">
      <c r="C1" s="315" t="s">
        <v>2326</v>
      </c>
      <c r="D1" s="316"/>
      <c r="E1" s="316"/>
      <c r="F1" s="316"/>
      <c r="G1" s="316"/>
      <c r="H1" s="316"/>
      <c r="I1" s="316"/>
      <c r="J1" s="316"/>
      <c r="K1" s="316"/>
      <c r="L1" s="317"/>
      <c r="M1" s="303" t="str">
        <f>VLOOKUP($S$2,Spielorte!$A$1:$C$6,2)</f>
        <v>29.09.</v>
      </c>
      <c r="N1" s="304"/>
      <c r="O1" s="304"/>
      <c r="P1" s="304"/>
      <c r="Q1" s="304"/>
      <c r="R1" s="304"/>
      <c r="S1" s="304"/>
      <c r="T1" s="304"/>
      <c r="U1" s="304"/>
      <c r="V1" s="305"/>
      <c r="W1" s="300" t="str">
        <f>+C1</f>
        <v>Landesliga Nord Frauen</v>
      </c>
      <c r="X1" s="301"/>
      <c r="Y1" s="301"/>
      <c r="Z1" s="301"/>
      <c r="AA1" s="301"/>
      <c r="AB1" s="301"/>
      <c r="AC1" s="301"/>
      <c r="AD1" s="301"/>
      <c r="AE1" s="301"/>
      <c r="AF1" s="302"/>
      <c r="AG1" s="303" t="str">
        <f>VLOOKUP($AM$2,Spielorte!$A$1:$C$6,2)</f>
        <v>13.10.</v>
      </c>
      <c r="AH1" s="304"/>
      <c r="AI1" s="304"/>
      <c r="AJ1" s="304"/>
      <c r="AK1" s="304"/>
      <c r="AL1" s="304"/>
      <c r="AM1" s="304"/>
      <c r="AN1" s="304"/>
      <c r="AO1" s="304"/>
      <c r="AP1" s="305"/>
      <c r="AQ1" s="300" t="str">
        <f>+W1</f>
        <v>Landesliga Nord Frauen</v>
      </c>
      <c r="AR1" s="301"/>
      <c r="AS1" s="301"/>
      <c r="AT1" s="301"/>
      <c r="AU1" s="301"/>
      <c r="AV1" s="301"/>
      <c r="AW1" s="301"/>
      <c r="AX1" s="301"/>
      <c r="AY1" s="301"/>
      <c r="AZ1" s="302"/>
      <c r="BA1" s="303" t="str">
        <f>VLOOKUP($BG$2,Spielorte!$A$1:$C$6,2)</f>
        <v>16.02.</v>
      </c>
      <c r="BB1" s="304"/>
      <c r="BC1" s="304"/>
      <c r="BD1" s="304"/>
      <c r="BE1" s="304"/>
      <c r="BF1" s="304"/>
      <c r="BG1" s="304"/>
      <c r="BH1" s="304"/>
      <c r="BI1" s="304"/>
      <c r="BJ1" s="305"/>
      <c r="BK1" s="300" t="str">
        <f>+AQ1</f>
        <v>Landesliga Nord Frauen</v>
      </c>
      <c r="BL1" s="301"/>
      <c r="BM1" s="301"/>
      <c r="BN1" s="301"/>
      <c r="BO1" s="301"/>
      <c r="BP1" s="301"/>
      <c r="BQ1" s="301"/>
      <c r="BR1" s="301"/>
      <c r="BS1" s="301"/>
      <c r="BT1" s="302"/>
      <c r="BU1" s="303" t="str">
        <f>VLOOKUP($CA$2,Spielorte!$A$1:$C$6,2)</f>
        <v>16.03.</v>
      </c>
      <c r="BV1" s="304"/>
      <c r="BW1" s="304"/>
      <c r="BX1" s="304"/>
      <c r="BY1" s="304"/>
      <c r="BZ1" s="304"/>
      <c r="CA1" s="304"/>
      <c r="CB1" s="304"/>
      <c r="CC1" s="304"/>
      <c r="CD1" s="305"/>
      <c r="CE1" s="300" t="str">
        <f>+BK1</f>
        <v>Landesliga Nord Frauen</v>
      </c>
      <c r="CF1" s="301"/>
      <c r="CG1" s="301"/>
      <c r="CH1" s="301"/>
      <c r="CI1" s="301"/>
      <c r="CJ1" s="301"/>
      <c r="CK1" s="301"/>
      <c r="CL1" s="301"/>
      <c r="CM1" s="301"/>
      <c r="CN1" s="302"/>
      <c r="CO1" s="303" t="str">
        <f>VLOOKUP($CU$2,Spielorte!$A$1:$C$6,2)</f>
        <v>13.04.</v>
      </c>
      <c r="CP1" s="304"/>
      <c r="CQ1" s="304"/>
      <c r="CR1" s="304"/>
      <c r="CS1" s="304"/>
      <c r="CT1" s="304"/>
      <c r="CU1" s="304"/>
      <c r="CV1" s="304"/>
      <c r="CW1" s="304"/>
      <c r="CX1" s="305"/>
      <c r="CY1" s="300" t="str">
        <f>+CE1</f>
        <v>Landesliga Nord Frauen</v>
      </c>
      <c r="CZ1" s="301"/>
      <c r="DA1" s="301"/>
      <c r="DB1" s="301"/>
      <c r="DC1" s="301"/>
      <c r="DD1" s="301"/>
      <c r="DE1" s="301"/>
      <c r="DF1" s="301"/>
      <c r="DG1" s="301"/>
      <c r="DH1" s="302"/>
      <c r="DI1" s="303" t="str">
        <f>VLOOKUP($DO$2,Spielorte!$A$1:$C$6,2)</f>
        <v>18.05.</v>
      </c>
      <c r="DJ1" s="304"/>
      <c r="DK1" s="304"/>
      <c r="DL1" s="304"/>
      <c r="DM1" s="304"/>
      <c r="DN1" s="304"/>
      <c r="DO1" s="304"/>
      <c r="DP1" s="304"/>
      <c r="DQ1" s="304"/>
      <c r="DR1" s="305"/>
    </row>
    <row r="2" spans="1:122" ht="24" customHeight="1" x14ac:dyDescent="0.25">
      <c r="C2" s="306" t="str">
        <f>VLOOKUP($S$2,Spielorte!$A$1:$C$6,3)</f>
        <v>Nürnberg West Bowling</v>
      </c>
      <c r="D2" s="307"/>
      <c r="E2" s="307"/>
      <c r="F2" s="307"/>
      <c r="G2" s="307"/>
      <c r="H2" s="307"/>
      <c r="I2" s="307"/>
      <c r="J2" s="307"/>
      <c r="K2" s="307"/>
      <c r="L2" s="308"/>
      <c r="M2" s="309" t="s">
        <v>1784</v>
      </c>
      <c r="N2" s="310"/>
      <c r="O2" s="310"/>
      <c r="P2" s="310"/>
      <c r="Q2" s="310"/>
      <c r="R2" s="310"/>
      <c r="S2" s="53">
        <v>1</v>
      </c>
      <c r="T2" s="2"/>
      <c r="U2" s="2"/>
      <c r="V2" s="54"/>
      <c r="W2" s="306" t="str">
        <f>VLOOKUP($AM$2,Spielorte!$A$1:$C$6,3)</f>
        <v>Nürnberg West Bowling</v>
      </c>
      <c r="X2" s="307"/>
      <c r="Y2" s="307"/>
      <c r="Z2" s="307"/>
      <c r="AA2" s="307"/>
      <c r="AB2" s="307"/>
      <c r="AC2" s="307"/>
      <c r="AD2" s="307"/>
      <c r="AE2" s="307"/>
      <c r="AF2" s="308"/>
      <c r="AG2" s="309" t="s">
        <v>1784</v>
      </c>
      <c r="AH2" s="310"/>
      <c r="AI2" s="310"/>
      <c r="AJ2" s="310"/>
      <c r="AK2" s="310"/>
      <c r="AL2" s="310"/>
      <c r="AM2" s="53">
        <v>2</v>
      </c>
      <c r="AN2" s="2"/>
      <c r="AO2" s="2"/>
      <c r="AP2" s="54"/>
      <c r="AQ2" s="306" t="str">
        <f>VLOOKUP($BG$2,Spielorte!$A$1:$C$6,3)</f>
        <v>Nürnberg West Bowling</v>
      </c>
      <c r="AR2" s="307"/>
      <c r="AS2" s="307"/>
      <c r="AT2" s="307"/>
      <c r="AU2" s="307"/>
      <c r="AV2" s="307"/>
      <c r="AW2" s="307"/>
      <c r="AX2" s="307"/>
      <c r="AY2" s="307"/>
      <c r="AZ2" s="308"/>
      <c r="BA2" s="309" t="s">
        <v>1784</v>
      </c>
      <c r="BB2" s="310"/>
      <c r="BC2" s="310"/>
      <c r="BD2" s="310"/>
      <c r="BE2" s="310"/>
      <c r="BF2" s="310"/>
      <c r="BG2" s="53">
        <v>3</v>
      </c>
      <c r="BH2" s="2"/>
      <c r="BI2" s="2"/>
      <c r="BJ2" s="54"/>
      <c r="BK2" s="306" t="str">
        <f>VLOOKUP($CA$2,Spielorte!$A$1:$C$6,3)</f>
        <v>Nürnberg West Bowling</v>
      </c>
      <c r="BL2" s="307"/>
      <c r="BM2" s="307"/>
      <c r="BN2" s="307"/>
      <c r="BO2" s="307"/>
      <c r="BP2" s="307"/>
      <c r="BQ2" s="307"/>
      <c r="BR2" s="307"/>
      <c r="BS2" s="307"/>
      <c r="BT2" s="308"/>
      <c r="BU2" s="309" t="s">
        <v>1784</v>
      </c>
      <c r="BV2" s="310"/>
      <c r="BW2" s="310"/>
      <c r="BX2" s="310"/>
      <c r="BY2" s="310"/>
      <c r="BZ2" s="310"/>
      <c r="CA2" s="53">
        <v>4</v>
      </c>
      <c r="CB2" s="2"/>
      <c r="CC2" s="2"/>
      <c r="CD2" s="54"/>
      <c r="CE2" s="306" t="str">
        <f>VLOOKUP($CU$2,Spielorte!$A$1:$C$6,3)</f>
        <v>Nürnberg West Bowling</v>
      </c>
      <c r="CF2" s="307"/>
      <c r="CG2" s="307"/>
      <c r="CH2" s="307"/>
      <c r="CI2" s="307"/>
      <c r="CJ2" s="307"/>
      <c r="CK2" s="307"/>
      <c r="CL2" s="307"/>
      <c r="CM2" s="307"/>
      <c r="CN2" s="308"/>
      <c r="CO2" s="309" t="s">
        <v>1784</v>
      </c>
      <c r="CP2" s="310"/>
      <c r="CQ2" s="310"/>
      <c r="CR2" s="310"/>
      <c r="CS2" s="310"/>
      <c r="CT2" s="310"/>
      <c r="CU2" s="53">
        <v>5</v>
      </c>
      <c r="CV2" s="2"/>
      <c r="CW2" s="2"/>
      <c r="CX2" s="54"/>
      <c r="CY2" s="306" t="str">
        <f>VLOOKUP($DO$2,Spielorte!$A$1:$C$6,3)</f>
        <v>Nürnberg West Bowling</v>
      </c>
      <c r="CZ2" s="307"/>
      <c r="DA2" s="307"/>
      <c r="DB2" s="307"/>
      <c r="DC2" s="307"/>
      <c r="DD2" s="307"/>
      <c r="DE2" s="307"/>
      <c r="DF2" s="307"/>
      <c r="DG2" s="307"/>
      <c r="DH2" s="308"/>
      <c r="DI2" s="309" t="s">
        <v>1784</v>
      </c>
      <c r="DJ2" s="310"/>
      <c r="DK2" s="310"/>
      <c r="DL2" s="310"/>
      <c r="DM2" s="310"/>
      <c r="DN2" s="310"/>
      <c r="DO2" s="53">
        <v>6</v>
      </c>
      <c r="DP2" s="2"/>
      <c r="DQ2" s="2"/>
      <c r="DR2" s="54"/>
    </row>
    <row r="3" spans="1:122" ht="12.75" customHeight="1" x14ac:dyDescent="0.25">
      <c r="C3" s="311" t="s">
        <v>9</v>
      </c>
      <c r="D3" s="312"/>
      <c r="E3" s="312"/>
      <c r="F3" s="312"/>
      <c r="G3" s="312"/>
      <c r="H3" s="312"/>
      <c r="I3" s="312"/>
      <c r="J3" s="312"/>
      <c r="K3" s="312"/>
      <c r="L3" s="313"/>
      <c r="M3" s="314" t="s">
        <v>10</v>
      </c>
      <c r="N3" s="312"/>
      <c r="O3" s="312"/>
      <c r="P3" s="312"/>
      <c r="Q3" s="312"/>
      <c r="R3" s="312"/>
      <c r="S3" s="312"/>
      <c r="T3" s="312"/>
      <c r="V3" s="55" t="s">
        <v>1785</v>
      </c>
      <c r="W3" s="311" t="s">
        <v>9</v>
      </c>
      <c r="X3" s="312"/>
      <c r="Y3" s="312"/>
      <c r="Z3" s="312"/>
      <c r="AA3" s="312"/>
      <c r="AB3" s="312"/>
      <c r="AC3" s="312"/>
      <c r="AD3" s="312"/>
      <c r="AE3" s="312"/>
      <c r="AF3" s="313"/>
      <c r="AG3" s="314" t="s">
        <v>10</v>
      </c>
      <c r="AH3" s="312"/>
      <c r="AI3" s="312"/>
      <c r="AJ3" s="312"/>
      <c r="AK3" s="312"/>
      <c r="AL3" s="312"/>
      <c r="AM3" s="312"/>
      <c r="AN3" s="312"/>
      <c r="AP3" s="55" t="s">
        <v>1785</v>
      </c>
      <c r="AQ3" s="311" t="s">
        <v>9</v>
      </c>
      <c r="AR3" s="312"/>
      <c r="AS3" s="312"/>
      <c r="AT3" s="312"/>
      <c r="AU3" s="312"/>
      <c r="AV3" s="312"/>
      <c r="AW3" s="312"/>
      <c r="AX3" s="312"/>
      <c r="AY3" s="312"/>
      <c r="AZ3" s="313"/>
      <c r="BA3" s="314" t="s">
        <v>10</v>
      </c>
      <c r="BB3" s="312"/>
      <c r="BC3" s="312"/>
      <c r="BD3" s="312"/>
      <c r="BE3" s="312"/>
      <c r="BF3" s="312"/>
      <c r="BG3" s="312"/>
      <c r="BH3" s="312"/>
      <c r="BJ3" s="55" t="s">
        <v>1785</v>
      </c>
      <c r="BK3" s="311" t="s">
        <v>9</v>
      </c>
      <c r="BL3" s="312"/>
      <c r="BM3" s="312"/>
      <c r="BN3" s="312"/>
      <c r="BO3" s="312"/>
      <c r="BP3" s="312"/>
      <c r="BQ3" s="312"/>
      <c r="BR3" s="312"/>
      <c r="BS3" s="312"/>
      <c r="BT3" s="313"/>
      <c r="BU3" s="314" t="s">
        <v>10</v>
      </c>
      <c r="BV3" s="312"/>
      <c r="BW3" s="312"/>
      <c r="BX3" s="312"/>
      <c r="BY3" s="312"/>
      <c r="BZ3" s="312"/>
      <c r="CA3" s="312"/>
      <c r="CB3" s="312"/>
      <c r="CD3" s="55" t="s">
        <v>1785</v>
      </c>
      <c r="CE3" s="311" t="s">
        <v>9</v>
      </c>
      <c r="CF3" s="312"/>
      <c r="CG3" s="312"/>
      <c r="CH3" s="312"/>
      <c r="CI3" s="312"/>
      <c r="CJ3" s="312"/>
      <c r="CK3" s="312"/>
      <c r="CL3" s="312"/>
      <c r="CM3" s="312"/>
      <c r="CN3" s="313"/>
      <c r="CO3" s="314" t="s">
        <v>10</v>
      </c>
      <c r="CP3" s="312"/>
      <c r="CQ3" s="312"/>
      <c r="CR3" s="312"/>
      <c r="CS3" s="312"/>
      <c r="CT3" s="312"/>
      <c r="CU3" s="312"/>
      <c r="CV3" s="312"/>
      <c r="CX3" s="55" t="s">
        <v>1785</v>
      </c>
      <c r="CY3" s="311" t="s">
        <v>9</v>
      </c>
      <c r="CZ3" s="312"/>
      <c r="DA3" s="312"/>
      <c r="DB3" s="312"/>
      <c r="DC3" s="312"/>
      <c r="DD3" s="312"/>
      <c r="DE3" s="312"/>
      <c r="DF3" s="312"/>
      <c r="DG3" s="312"/>
      <c r="DH3" s="313"/>
      <c r="DI3" s="314" t="s">
        <v>10</v>
      </c>
      <c r="DJ3" s="312"/>
      <c r="DK3" s="312"/>
      <c r="DL3" s="312"/>
      <c r="DM3" s="312"/>
      <c r="DN3" s="312"/>
      <c r="DO3" s="312"/>
      <c r="DP3" s="312"/>
      <c r="DR3" s="55" t="s">
        <v>1785</v>
      </c>
    </row>
    <row r="4" spans="1:122" ht="12.75" customHeight="1" x14ac:dyDescent="0.25">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19</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11</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5">
      <c r="A5">
        <v>1</v>
      </c>
      <c r="B5" s="277" t="s">
        <v>2420</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20</v>
      </c>
      <c r="BV5">
        <f>BV12+CD4-1</f>
        <v>19</v>
      </c>
      <c r="BW5">
        <f>BW12+CD4-1</f>
        <v>20</v>
      </c>
      <c r="BX5">
        <f>BX12+CD4-1</f>
        <v>19</v>
      </c>
      <c r="BY5">
        <f>BY12+CD4-1</f>
        <v>20</v>
      </c>
      <c r="BZ5">
        <f>BZ12+CD4-1</f>
        <v>19</v>
      </c>
      <c r="CD5" s="59">
        <f>SUM(BU5:CC5)</f>
        <v>117</v>
      </c>
      <c r="CE5" s="58"/>
      <c r="CF5" s="6"/>
      <c r="CG5" s="6"/>
      <c r="CH5" s="6"/>
      <c r="CI5" s="6"/>
      <c r="CJ5" s="6"/>
      <c r="CK5" s="6"/>
      <c r="CL5" s="6"/>
      <c r="CM5" s="6"/>
      <c r="CN5" s="52">
        <f>SUM(CE5:CM5)</f>
        <v>0</v>
      </c>
      <c r="CX5" s="59">
        <f>SUM(CO5:CW5)</f>
        <v>0</v>
      </c>
      <c r="CY5" s="58">
        <v>3</v>
      </c>
      <c r="CZ5" s="6">
        <v>3</v>
      </c>
      <c r="DA5" s="6">
        <v>3</v>
      </c>
      <c r="DB5" s="6">
        <v>3</v>
      </c>
      <c r="DC5" s="6">
        <v>3</v>
      </c>
      <c r="DD5" s="6">
        <v>3</v>
      </c>
      <c r="DE5" s="6"/>
      <c r="DF5" s="6"/>
      <c r="DG5" s="6"/>
      <c r="DH5" s="52">
        <f>SUM(CY5:DG5)</f>
        <v>18</v>
      </c>
      <c r="DI5">
        <f>DI12+DR4-1</f>
        <v>22</v>
      </c>
      <c r="DJ5">
        <f>DJ12+DR4-1</f>
        <v>21</v>
      </c>
      <c r="DK5">
        <f>DK12+DR4-1</f>
        <v>22</v>
      </c>
      <c r="DL5">
        <f>DL12+DR4-1</f>
        <v>21</v>
      </c>
      <c r="DM5">
        <f>DM12+DR4-1</f>
        <v>22</v>
      </c>
      <c r="DN5">
        <f>DN12+DR4-1</f>
        <v>21</v>
      </c>
      <c r="DR5" s="59">
        <f>SUM(DI5:DQ5)</f>
        <v>129</v>
      </c>
    </row>
    <row r="6" spans="1:122" x14ac:dyDescent="0.25">
      <c r="A6">
        <v>2</v>
      </c>
      <c r="B6" s="277" t="s">
        <v>2421</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19</v>
      </c>
      <c r="BV6">
        <f>BV13+CD4-1</f>
        <v>20</v>
      </c>
      <c r="BW6">
        <f>BW13+CD4-1</f>
        <v>19</v>
      </c>
      <c r="BX6">
        <f>BX13+CD4-1</f>
        <v>20</v>
      </c>
      <c r="BY6">
        <f>BY13+CD4-1</f>
        <v>19</v>
      </c>
      <c r="BZ6">
        <f>BZ13+CD4-1</f>
        <v>20</v>
      </c>
      <c r="CD6" s="59">
        <f>SUM(BU6:CC6)</f>
        <v>117</v>
      </c>
      <c r="CE6" s="58">
        <v>3</v>
      </c>
      <c r="CF6" s="6">
        <v>3</v>
      </c>
      <c r="CG6" s="6">
        <v>3</v>
      </c>
      <c r="CH6" s="6">
        <v>3</v>
      </c>
      <c r="CI6" s="6">
        <v>3</v>
      </c>
      <c r="CJ6" s="6">
        <v>3</v>
      </c>
      <c r="CK6" s="6"/>
      <c r="CL6" s="6"/>
      <c r="CM6" s="6"/>
      <c r="CN6" s="52">
        <f>SUM(CE6:CM6)</f>
        <v>18</v>
      </c>
      <c r="CO6">
        <f>CO13+CX4-1</f>
        <v>12</v>
      </c>
      <c r="CP6">
        <f>CP13+CX4-1</f>
        <v>11</v>
      </c>
      <c r="CQ6">
        <f>CQ13+CX4-1</f>
        <v>12</v>
      </c>
      <c r="CR6">
        <f>CR13+CX4-1</f>
        <v>11</v>
      </c>
      <c r="CS6">
        <f>CS13+CX4-1</f>
        <v>12</v>
      </c>
      <c r="CT6">
        <f>CT13+CX4-1</f>
        <v>11</v>
      </c>
      <c r="CX6" s="59">
        <f>SUM(CO6:CW6)</f>
        <v>69</v>
      </c>
      <c r="CY6" s="58"/>
      <c r="CZ6" s="6"/>
      <c r="DA6" s="6"/>
      <c r="DB6" s="6"/>
      <c r="DC6" s="6"/>
      <c r="DD6" s="6"/>
      <c r="DE6" s="6"/>
      <c r="DF6" s="6"/>
      <c r="DG6" s="6"/>
      <c r="DH6" s="52">
        <f>SUM(CY6:DG6)</f>
        <v>0</v>
      </c>
      <c r="DR6" s="59">
        <f>SUM(DI6:DQ6)</f>
        <v>0</v>
      </c>
    </row>
    <row r="7" spans="1:122" x14ac:dyDescent="0.25">
      <c r="A7">
        <v>3</v>
      </c>
      <c r="B7" s="277" t="s">
        <v>2422</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9">+AQ7</f>
        <v>1</v>
      </c>
      <c r="AS7" s="6">
        <f t="shared" si="9"/>
        <v>1</v>
      </c>
      <c r="AT7" s="6">
        <f t="shared" si="9"/>
        <v>1</v>
      </c>
      <c r="AU7" s="6">
        <f t="shared" si="9"/>
        <v>1</v>
      </c>
      <c r="AV7" s="6">
        <f t="shared" si="9"/>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2</v>
      </c>
      <c r="CF7" s="6">
        <v>2</v>
      </c>
      <c r="CG7" s="6">
        <v>2</v>
      </c>
      <c r="CH7" s="6">
        <v>2</v>
      </c>
      <c r="CI7" s="6">
        <v>2</v>
      </c>
      <c r="CJ7" s="6">
        <v>2</v>
      </c>
      <c r="CK7" s="6"/>
      <c r="CL7" s="6"/>
      <c r="CM7" s="6"/>
      <c r="CN7" s="52">
        <f>SUM(CE7:CM7)</f>
        <v>12</v>
      </c>
      <c r="CO7">
        <f>CO14+CX4-1</f>
        <v>11</v>
      </c>
      <c r="CP7">
        <f>CP14+CX4-1</f>
        <v>12</v>
      </c>
      <c r="CQ7">
        <f>CQ14+CX4-1</f>
        <v>11</v>
      </c>
      <c r="CR7">
        <f>CR14+CX4-1</f>
        <v>12</v>
      </c>
      <c r="CS7">
        <f>CS14+CX4-1</f>
        <v>11</v>
      </c>
      <c r="CT7">
        <f>CT14+CX4-1</f>
        <v>12</v>
      </c>
      <c r="CX7" s="59">
        <f>SUM(CO7:CW7)</f>
        <v>69</v>
      </c>
      <c r="CY7" s="58">
        <v>1</v>
      </c>
      <c r="CZ7" s="6">
        <v>1</v>
      </c>
      <c r="DA7" s="6">
        <f t="shared" ref="DA7:DD7" si="10">+CZ7</f>
        <v>1</v>
      </c>
      <c r="DB7" s="6">
        <f t="shared" si="10"/>
        <v>1</v>
      </c>
      <c r="DC7" s="6">
        <f t="shared" si="10"/>
        <v>1</v>
      </c>
      <c r="DD7" s="6">
        <f t="shared" si="10"/>
        <v>1</v>
      </c>
      <c r="DE7" s="6"/>
      <c r="DF7" s="6"/>
      <c r="DG7" s="6"/>
      <c r="DH7" s="52">
        <f>SUM(CY7:DG7)</f>
        <v>6</v>
      </c>
      <c r="DI7">
        <f>DI14+DR4-1</f>
        <v>21</v>
      </c>
      <c r="DJ7">
        <f>DJ14+DR4-1</f>
        <v>22</v>
      </c>
      <c r="DK7">
        <f>DK14+DR4-1</f>
        <v>21</v>
      </c>
      <c r="DL7">
        <f>DL14+DR4-1</f>
        <v>22</v>
      </c>
      <c r="DM7">
        <f>DM14+DR4-1</f>
        <v>21</v>
      </c>
      <c r="DN7">
        <f>DN14+DR4-1</f>
        <v>22</v>
      </c>
      <c r="DR7" s="59">
        <f>SUM(DI7:DQ7)</f>
        <v>129</v>
      </c>
    </row>
    <row r="8" spans="1:122" x14ac:dyDescent="0.25">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5">
      <c r="B9" s="33"/>
      <c r="C9" s="60">
        <f t="shared" ref="C9:H9" si="11">SUM(C5:C8)</f>
        <v>3</v>
      </c>
      <c r="D9">
        <f t="shared" si="11"/>
        <v>3</v>
      </c>
      <c r="E9">
        <f t="shared" si="11"/>
        <v>3</v>
      </c>
      <c r="F9">
        <f t="shared" si="11"/>
        <v>3</v>
      </c>
      <c r="G9">
        <f t="shared" si="11"/>
        <v>3</v>
      </c>
      <c r="H9">
        <f t="shared" si="11"/>
        <v>3</v>
      </c>
      <c r="M9">
        <f t="shared" ref="M9:R9" si="12">SUM(M5:M8)</f>
        <v>19</v>
      </c>
      <c r="N9">
        <f t="shared" si="12"/>
        <v>19</v>
      </c>
      <c r="O9">
        <f t="shared" si="12"/>
        <v>19</v>
      </c>
      <c r="P9">
        <f t="shared" si="12"/>
        <v>19</v>
      </c>
      <c r="Q9">
        <f t="shared" si="12"/>
        <v>19</v>
      </c>
      <c r="R9">
        <f t="shared" si="12"/>
        <v>19</v>
      </c>
      <c r="V9" s="61"/>
      <c r="W9" s="60">
        <f t="shared" ref="W9:AB9" si="13">SUM(W5:W8)</f>
        <v>4</v>
      </c>
      <c r="X9">
        <f t="shared" si="13"/>
        <v>4</v>
      </c>
      <c r="Y9">
        <f t="shared" si="13"/>
        <v>4</v>
      </c>
      <c r="Z9">
        <f t="shared" si="13"/>
        <v>4</v>
      </c>
      <c r="AA9">
        <f t="shared" si="13"/>
        <v>4</v>
      </c>
      <c r="AB9">
        <f t="shared" si="13"/>
        <v>4</v>
      </c>
      <c r="AG9">
        <f t="shared" ref="AG9:AL9" si="14">SUM(AG5:AG8)</f>
        <v>15</v>
      </c>
      <c r="AH9">
        <f t="shared" si="14"/>
        <v>15</v>
      </c>
      <c r="AI9">
        <f t="shared" si="14"/>
        <v>15</v>
      </c>
      <c r="AJ9">
        <f t="shared" si="14"/>
        <v>15</v>
      </c>
      <c r="AK9">
        <f t="shared" si="14"/>
        <v>15</v>
      </c>
      <c r="AL9">
        <f t="shared" si="14"/>
        <v>15</v>
      </c>
      <c r="AP9" s="61"/>
      <c r="AQ9" s="60">
        <f t="shared" ref="AQ9:AV9" si="15">SUM(AQ5:AQ8)</f>
        <v>4</v>
      </c>
      <c r="AR9">
        <f t="shared" si="15"/>
        <v>4</v>
      </c>
      <c r="AS9">
        <f t="shared" si="15"/>
        <v>4</v>
      </c>
      <c r="AT9">
        <f t="shared" si="15"/>
        <v>4</v>
      </c>
      <c r="AU9">
        <f t="shared" si="15"/>
        <v>4</v>
      </c>
      <c r="AV9">
        <f t="shared" si="15"/>
        <v>4</v>
      </c>
      <c r="BA9">
        <f t="shared" ref="BA9:BF9" si="16">SUM(BA5:BA8)</f>
        <v>23</v>
      </c>
      <c r="BB9">
        <f t="shared" si="16"/>
        <v>23</v>
      </c>
      <c r="BC9">
        <f t="shared" si="16"/>
        <v>23</v>
      </c>
      <c r="BD9">
        <f t="shared" si="16"/>
        <v>23</v>
      </c>
      <c r="BE9">
        <f t="shared" si="16"/>
        <v>23</v>
      </c>
      <c r="BF9">
        <f t="shared" si="16"/>
        <v>23</v>
      </c>
      <c r="BJ9" s="61"/>
      <c r="BK9" s="60">
        <f t="shared" ref="BK9:BP9" si="17">SUM(BK5:BK8)</f>
        <v>3</v>
      </c>
      <c r="BL9">
        <f t="shared" si="17"/>
        <v>3</v>
      </c>
      <c r="BM9">
        <f t="shared" si="17"/>
        <v>3</v>
      </c>
      <c r="BN9">
        <f t="shared" si="17"/>
        <v>3</v>
      </c>
      <c r="BO9">
        <f t="shared" si="17"/>
        <v>3</v>
      </c>
      <c r="BP9">
        <f t="shared" si="17"/>
        <v>3</v>
      </c>
      <c r="BU9">
        <f t="shared" ref="BU9:BZ9" si="18">SUM(BU5:BU8)</f>
        <v>39</v>
      </c>
      <c r="BV9">
        <f t="shared" si="18"/>
        <v>39</v>
      </c>
      <c r="BW9">
        <f t="shared" si="18"/>
        <v>39</v>
      </c>
      <c r="BX9">
        <f t="shared" si="18"/>
        <v>39</v>
      </c>
      <c r="BY9">
        <f t="shared" si="18"/>
        <v>39</v>
      </c>
      <c r="BZ9">
        <f t="shared" si="18"/>
        <v>39</v>
      </c>
      <c r="CD9" s="61"/>
      <c r="CE9" s="60">
        <f t="shared" ref="CE9:CJ9" si="19">SUM(CE5:CE8)</f>
        <v>5</v>
      </c>
      <c r="CF9">
        <f t="shared" si="19"/>
        <v>5</v>
      </c>
      <c r="CG9">
        <f t="shared" si="19"/>
        <v>5</v>
      </c>
      <c r="CH9">
        <f t="shared" si="19"/>
        <v>5</v>
      </c>
      <c r="CI9">
        <f t="shared" si="19"/>
        <v>5</v>
      </c>
      <c r="CJ9">
        <f t="shared" si="19"/>
        <v>5</v>
      </c>
      <c r="CO9">
        <f t="shared" ref="CO9:CT9" si="20">SUM(CO5:CO8)</f>
        <v>23</v>
      </c>
      <c r="CP9">
        <f t="shared" si="20"/>
        <v>23</v>
      </c>
      <c r="CQ9">
        <f t="shared" si="20"/>
        <v>23</v>
      </c>
      <c r="CR9">
        <f t="shared" si="20"/>
        <v>23</v>
      </c>
      <c r="CS9">
        <f t="shared" si="20"/>
        <v>23</v>
      </c>
      <c r="CT9">
        <f t="shared" si="20"/>
        <v>23</v>
      </c>
      <c r="CX9" s="61"/>
      <c r="CY9" s="60">
        <f t="shared" ref="CY9:DD9" si="21">SUM(CY5:CY8)</f>
        <v>4</v>
      </c>
      <c r="CZ9">
        <f t="shared" si="21"/>
        <v>4</v>
      </c>
      <c r="DA9">
        <f t="shared" si="21"/>
        <v>4</v>
      </c>
      <c r="DB9">
        <f t="shared" si="21"/>
        <v>4</v>
      </c>
      <c r="DC9">
        <f t="shared" si="21"/>
        <v>4</v>
      </c>
      <c r="DD9">
        <f t="shared" si="21"/>
        <v>4</v>
      </c>
      <c r="DI9">
        <f t="shared" ref="DI9:DN9" si="22">SUM(DI5:DI8)</f>
        <v>43</v>
      </c>
      <c r="DJ9">
        <f t="shared" si="22"/>
        <v>43</v>
      </c>
      <c r="DK9">
        <f t="shared" si="22"/>
        <v>43</v>
      </c>
      <c r="DL9">
        <f t="shared" si="22"/>
        <v>43</v>
      </c>
      <c r="DM9">
        <f t="shared" si="22"/>
        <v>43</v>
      </c>
      <c r="DN9">
        <f t="shared" si="22"/>
        <v>43</v>
      </c>
      <c r="DR9" s="61"/>
    </row>
    <row r="10" spans="1:122" x14ac:dyDescent="0.25">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5">
      <c r="C11" s="60"/>
      <c r="V11" s="61"/>
      <c r="W11" s="60"/>
      <c r="AP11" s="61"/>
      <c r="AQ11" s="60"/>
      <c r="BJ11" s="61"/>
      <c r="BK11" s="60"/>
      <c r="CD11" s="61"/>
      <c r="CE11" s="60"/>
      <c r="CX11" s="61"/>
      <c r="CY11" s="60"/>
      <c r="DR11" s="61"/>
    </row>
    <row r="12" spans="1:122" x14ac:dyDescent="0.25">
      <c r="A12">
        <v>1</v>
      </c>
      <c r="B12" s="33" t="str">
        <f>+B5</f>
        <v>Kleeblatt Fürth</v>
      </c>
      <c r="C12" s="60"/>
      <c r="M12">
        <v>1</v>
      </c>
      <c r="N12">
        <f t="shared" ref="N12:R13" si="23">+M12</f>
        <v>1</v>
      </c>
      <c r="O12">
        <f t="shared" si="23"/>
        <v>1</v>
      </c>
      <c r="P12">
        <f t="shared" si="23"/>
        <v>1</v>
      </c>
      <c r="Q12">
        <f t="shared" si="23"/>
        <v>1</v>
      </c>
      <c r="R12">
        <f t="shared" si="23"/>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v>1</v>
      </c>
      <c r="BW12">
        <v>2</v>
      </c>
      <c r="BX12">
        <v>1</v>
      </c>
      <c r="BY12">
        <v>2</v>
      </c>
      <c r="BZ12">
        <v>1</v>
      </c>
      <c r="CD12" s="59">
        <f>SUM(BU12:CC12)</f>
        <v>9</v>
      </c>
      <c r="CE12" s="60"/>
      <c r="CX12" s="59">
        <f>SUM(CO12:CW12)</f>
        <v>0</v>
      </c>
      <c r="CY12" s="60"/>
      <c r="DI12">
        <v>2</v>
      </c>
      <c r="DJ12">
        <v>1</v>
      </c>
      <c r="DK12">
        <v>2</v>
      </c>
      <c r="DL12">
        <v>1</v>
      </c>
      <c r="DM12">
        <v>2</v>
      </c>
      <c r="DN12">
        <v>1</v>
      </c>
      <c r="DR12" s="59">
        <f>SUM(DI12:DQ12)</f>
        <v>9</v>
      </c>
    </row>
    <row r="13" spans="1:122" x14ac:dyDescent="0.25">
      <c r="A13">
        <v>2</v>
      </c>
      <c r="B13" s="33" t="str">
        <f>+B6</f>
        <v>BC Phönix Lauf</v>
      </c>
      <c r="C13" s="60"/>
      <c r="M13">
        <v>2</v>
      </c>
      <c r="N13">
        <f t="shared" si="23"/>
        <v>2</v>
      </c>
      <c r="O13">
        <f>+N13</f>
        <v>2</v>
      </c>
      <c r="P13">
        <f t="shared" si="23"/>
        <v>2</v>
      </c>
      <c r="Q13">
        <f t="shared" si="23"/>
        <v>2</v>
      </c>
      <c r="R13">
        <f t="shared" si="23"/>
        <v>2</v>
      </c>
      <c r="V13" s="59">
        <f>SUM(M13:U13)</f>
        <v>12</v>
      </c>
      <c r="W13" s="60"/>
      <c r="AP13" s="59">
        <f>SUM(AG13:AO13)</f>
        <v>0</v>
      </c>
      <c r="AQ13" s="60"/>
      <c r="BJ13" s="59">
        <f>SUM(BA13:BI13)</f>
        <v>0</v>
      </c>
      <c r="BK13" s="60"/>
      <c r="BU13">
        <v>1</v>
      </c>
      <c r="BV13">
        <v>2</v>
      </c>
      <c r="BW13">
        <v>1</v>
      </c>
      <c r="BX13">
        <v>2</v>
      </c>
      <c r="BY13">
        <v>1</v>
      </c>
      <c r="BZ13">
        <v>2</v>
      </c>
      <c r="CD13" s="59">
        <f>SUM(BU13:CC13)</f>
        <v>9</v>
      </c>
      <c r="CE13" s="60"/>
      <c r="CO13">
        <v>2</v>
      </c>
      <c r="CP13">
        <v>1</v>
      </c>
      <c r="CQ13">
        <v>2</v>
      </c>
      <c r="CR13">
        <v>1</v>
      </c>
      <c r="CS13">
        <v>2</v>
      </c>
      <c r="CT13">
        <v>1</v>
      </c>
      <c r="CX13" s="59">
        <f>SUM(CO13:CW13)</f>
        <v>9</v>
      </c>
      <c r="CY13" s="60"/>
      <c r="DR13" s="59">
        <f>SUM(DI13:DQ13)</f>
        <v>0</v>
      </c>
    </row>
    <row r="14" spans="1:122" x14ac:dyDescent="0.25">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v>2</v>
      </c>
      <c r="CQ14">
        <v>1</v>
      </c>
      <c r="CR14">
        <v>2</v>
      </c>
      <c r="CS14">
        <v>1</v>
      </c>
      <c r="CT14">
        <v>2</v>
      </c>
      <c r="CX14" s="59">
        <f>SUM(CO14:CW14)</f>
        <v>9</v>
      </c>
      <c r="CY14" s="60"/>
      <c r="DI14">
        <v>1</v>
      </c>
      <c r="DJ14">
        <v>2</v>
      </c>
      <c r="DK14">
        <v>1</v>
      </c>
      <c r="DL14">
        <v>2</v>
      </c>
      <c r="DM14">
        <v>1</v>
      </c>
      <c r="DN14">
        <v>2</v>
      </c>
      <c r="DR14" s="59">
        <f>SUM(DI14:DQ14)</f>
        <v>9</v>
      </c>
    </row>
    <row r="15" spans="1:122" x14ac:dyDescent="0.25">
      <c r="B15" s="33"/>
      <c r="C15" s="60"/>
      <c r="V15" s="59"/>
      <c r="W15" s="60"/>
      <c r="AP15" s="59"/>
      <c r="AQ15" s="60"/>
      <c r="BJ15" s="59"/>
      <c r="BK15" s="60"/>
      <c r="CD15" s="59"/>
      <c r="CE15" s="60"/>
      <c r="CX15" s="59"/>
      <c r="CY15" s="60"/>
      <c r="DR15" s="59"/>
    </row>
    <row r="16" spans="1:122" ht="13.8" thickBot="1" x14ac:dyDescent="0.3">
      <c r="B16" s="33"/>
      <c r="C16" s="62"/>
      <c r="D16" s="63"/>
      <c r="E16" s="63"/>
      <c r="F16" s="63"/>
      <c r="G16" s="63"/>
      <c r="H16" s="63"/>
      <c r="I16" s="63"/>
      <c r="J16" s="63"/>
      <c r="K16" s="63"/>
      <c r="L16" s="64"/>
      <c r="M16" s="63">
        <f t="shared" ref="M16:R16" si="24">SUM(M12:M15)</f>
        <v>3</v>
      </c>
      <c r="N16" s="63">
        <f t="shared" si="24"/>
        <v>3</v>
      </c>
      <c r="O16" s="63">
        <f t="shared" si="24"/>
        <v>3</v>
      </c>
      <c r="P16" s="63">
        <f t="shared" si="24"/>
        <v>3</v>
      </c>
      <c r="Q16" s="63">
        <f t="shared" si="24"/>
        <v>3</v>
      </c>
      <c r="R16" s="63">
        <f t="shared" si="24"/>
        <v>3</v>
      </c>
      <c r="S16" s="63"/>
      <c r="T16" s="63"/>
      <c r="U16" s="63"/>
      <c r="V16" s="65">
        <f>SUM(M16:U16)</f>
        <v>18</v>
      </c>
      <c r="W16" s="62"/>
      <c r="X16" s="63"/>
      <c r="Y16" s="63"/>
      <c r="Z16" s="63"/>
      <c r="AA16" s="63"/>
      <c r="AB16" s="63"/>
      <c r="AC16" s="63"/>
      <c r="AD16" s="63"/>
      <c r="AE16" s="63"/>
      <c r="AF16" s="64"/>
      <c r="AG16" s="63">
        <f t="shared" ref="AG16:AL16" si="25">SUM(AG12:AG15)</f>
        <v>3</v>
      </c>
      <c r="AH16" s="63">
        <f t="shared" si="25"/>
        <v>3</v>
      </c>
      <c r="AI16" s="63">
        <f t="shared" si="25"/>
        <v>3</v>
      </c>
      <c r="AJ16" s="63">
        <f t="shared" si="25"/>
        <v>3</v>
      </c>
      <c r="AK16" s="63">
        <f t="shared" si="25"/>
        <v>3</v>
      </c>
      <c r="AL16" s="63">
        <f t="shared" si="25"/>
        <v>3</v>
      </c>
      <c r="AM16" s="63"/>
      <c r="AN16" s="63"/>
      <c r="AO16" s="63"/>
      <c r="AP16" s="65">
        <f>SUM(AG16:AO16)</f>
        <v>18</v>
      </c>
      <c r="AQ16" s="62"/>
      <c r="AR16" s="63"/>
      <c r="AS16" s="63"/>
      <c r="AT16" s="63"/>
      <c r="AU16" s="63"/>
      <c r="AV16" s="63"/>
      <c r="AW16" s="63"/>
      <c r="AX16" s="63"/>
      <c r="AY16" s="63"/>
      <c r="AZ16" s="64"/>
      <c r="BA16" s="63">
        <f t="shared" ref="BA16:BF16" si="26">SUM(BA12:BA15)</f>
        <v>3</v>
      </c>
      <c r="BB16" s="63">
        <f t="shared" si="26"/>
        <v>3</v>
      </c>
      <c r="BC16" s="63">
        <f t="shared" si="26"/>
        <v>3</v>
      </c>
      <c r="BD16" s="63">
        <f t="shared" si="26"/>
        <v>3</v>
      </c>
      <c r="BE16" s="63">
        <f t="shared" si="26"/>
        <v>3</v>
      </c>
      <c r="BF16" s="63">
        <f t="shared" si="26"/>
        <v>3</v>
      </c>
      <c r="BG16" s="63"/>
      <c r="BH16" s="63"/>
      <c r="BI16" s="63"/>
      <c r="BJ16" s="65">
        <f>SUM(BA16:BI16)</f>
        <v>18</v>
      </c>
      <c r="BK16" s="62"/>
      <c r="BL16" s="63"/>
      <c r="BM16" s="63"/>
      <c r="BN16" s="63"/>
      <c r="BO16" s="63"/>
      <c r="BP16" s="63"/>
      <c r="BQ16" s="63"/>
      <c r="BR16" s="63"/>
      <c r="BS16" s="63"/>
      <c r="BT16" s="64"/>
      <c r="BU16" s="63">
        <f t="shared" ref="BU16:BZ16" si="27">SUM(BU12:BU15)</f>
        <v>3</v>
      </c>
      <c r="BV16" s="63">
        <f t="shared" si="27"/>
        <v>3</v>
      </c>
      <c r="BW16" s="63">
        <f t="shared" si="27"/>
        <v>3</v>
      </c>
      <c r="BX16" s="63">
        <f t="shared" si="27"/>
        <v>3</v>
      </c>
      <c r="BY16" s="63">
        <f t="shared" si="27"/>
        <v>3</v>
      </c>
      <c r="BZ16" s="63">
        <f t="shared" si="27"/>
        <v>3</v>
      </c>
      <c r="CA16" s="63"/>
      <c r="CB16" s="63"/>
      <c r="CC16" s="63"/>
      <c r="CD16" s="65">
        <f>SUM(BU16:CC16)</f>
        <v>18</v>
      </c>
      <c r="CE16" s="62"/>
      <c r="CF16" s="63"/>
      <c r="CG16" s="63"/>
      <c r="CH16" s="63"/>
      <c r="CI16" s="63"/>
      <c r="CJ16" s="63"/>
      <c r="CK16" s="63"/>
      <c r="CL16" s="63"/>
      <c r="CM16" s="63"/>
      <c r="CN16" s="64"/>
      <c r="CO16" s="63">
        <f t="shared" ref="CO16:CT16" si="28">SUM(CO12:CO15)</f>
        <v>3</v>
      </c>
      <c r="CP16" s="63">
        <f t="shared" si="28"/>
        <v>3</v>
      </c>
      <c r="CQ16" s="63">
        <f t="shared" si="28"/>
        <v>3</v>
      </c>
      <c r="CR16" s="63">
        <f t="shared" si="28"/>
        <v>3</v>
      </c>
      <c r="CS16" s="63">
        <f t="shared" si="28"/>
        <v>3</v>
      </c>
      <c r="CT16" s="63">
        <f t="shared" si="28"/>
        <v>3</v>
      </c>
      <c r="CU16" s="63"/>
      <c r="CV16" s="63"/>
      <c r="CW16" s="63"/>
      <c r="CX16" s="65">
        <f>SUM(CO16:CW16)</f>
        <v>18</v>
      </c>
      <c r="CY16" s="62"/>
      <c r="CZ16" s="63"/>
      <c r="DA16" s="63"/>
      <c r="DB16" s="63"/>
      <c r="DC16" s="63"/>
      <c r="DD16" s="63"/>
      <c r="DE16" s="63"/>
      <c r="DF16" s="63"/>
      <c r="DG16" s="63"/>
      <c r="DH16" s="64"/>
      <c r="DI16" s="63">
        <f t="shared" ref="DI16:DN16" si="29">SUM(DI12:DI15)</f>
        <v>3</v>
      </c>
      <c r="DJ16" s="63">
        <f t="shared" si="29"/>
        <v>3</v>
      </c>
      <c r="DK16" s="63">
        <f t="shared" si="29"/>
        <v>3</v>
      </c>
      <c r="DL16" s="63">
        <f t="shared" si="29"/>
        <v>3</v>
      </c>
      <c r="DM16" s="63">
        <f t="shared" si="29"/>
        <v>3</v>
      </c>
      <c r="DN16" s="63">
        <f t="shared" si="29"/>
        <v>3</v>
      </c>
      <c r="DO16" s="63"/>
      <c r="DP16" s="63"/>
      <c r="DQ16" s="63"/>
      <c r="DR16" s="65">
        <f>SUM(DI16:DQ16)</f>
        <v>18</v>
      </c>
    </row>
    <row r="17" spans="2:122" x14ac:dyDescent="0.25">
      <c r="B17" s="33"/>
      <c r="L17"/>
      <c r="V17" s="6"/>
      <c r="AF17"/>
      <c r="AP17" s="6"/>
      <c r="AZ17"/>
      <c r="BJ17" s="6"/>
      <c r="BT17"/>
      <c r="CD17" s="6"/>
      <c r="CN17"/>
      <c r="CX17" s="6"/>
      <c r="DH17"/>
      <c r="DR17" s="6"/>
    </row>
    <row r="18" spans="2:122" x14ac:dyDescent="0.25">
      <c r="L18"/>
      <c r="V18" s="6"/>
      <c r="AF18"/>
      <c r="AP18" s="6"/>
      <c r="AZ18"/>
      <c r="BJ18" s="6"/>
      <c r="BT18"/>
      <c r="CD18" s="6"/>
      <c r="CN18"/>
      <c r="CX18" s="6"/>
      <c r="DH18"/>
      <c r="DR18" s="6"/>
    </row>
    <row r="19" spans="2:122" x14ac:dyDescent="0.25">
      <c r="DM19" s="201"/>
    </row>
  </sheetData>
  <mergeCells count="36">
    <mergeCell ref="W3:AF3"/>
    <mergeCell ref="AG3:AN3"/>
    <mergeCell ref="C1:L1"/>
    <mergeCell ref="C2:L2"/>
    <mergeCell ref="C3:L3"/>
    <mergeCell ref="M3:T3"/>
    <mergeCell ref="M1:V1"/>
    <mergeCell ref="BK1:BT1"/>
    <mergeCell ref="BU1:CD1"/>
    <mergeCell ref="AQ2:AZ2"/>
    <mergeCell ref="BK2:BT2"/>
    <mergeCell ref="W1:AF1"/>
    <mergeCell ref="AG1:AP1"/>
    <mergeCell ref="W2:AF2"/>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CY1:DH1"/>
    <mergeCell ref="DI1:DR1"/>
    <mergeCell ref="CY2:DH2"/>
    <mergeCell ref="DI2:DN2"/>
    <mergeCell ref="CY3:DH3"/>
    <mergeCell ref="DI3:DP3"/>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L111"/>
  <sheetViews>
    <sheetView workbookViewId="0">
      <selection activeCell="C25" sqref="C25"/>
    </sheetView>
  </sheetViews>
  <sheetFormatPr baseColWidth="10" defaultRowHeight="13.2" x14ac:dyDescent="0.25"/>
  <cols>
    <col min="1" max="1" width="6.5546875" style="6" customWidth="1"/>
    <col min="2" max="2" width="27.5546875" customWidth="1"/>
    <col min="3" max="3" width="28.5546875" customWidth="1"/>
    <col min="4" max="9" width="6.5546875" style="6" customWidth="1"/>
    <col min="10" max="10" width="26.5546875" customWidth="1"/>
    <col min="11" max="11" width="2.5546875" bestFit="1" customWidth="1"/>
    <col min="12" max="12" width="33.44140625" style="104" bestFit="1" customWidth="1"/>
  </cols>
  <sheetData>
    <row r="1" spans="1:12" s="134" customFormat="1" ht="13.8" x14ac:dyDescent="0.25">
      <c r="A1" s="321" t="str">
        <f>Schlüssel!C1&amp;"     -     Saison "&amp;Spielorte!C18</f>
        <v>Landesliga Nord Frauen     -     Saison 2024/2025</v>
      </c>
      <c r="B1" s="321"/>
      <c r="C1" s="321"/>
      <c r="D1" s="321"/>
      <c r="E1" s="321"/>
      <c r="F1" s="321"/>
      <c r="G1" s="321"/>
      <c r="H1" s="321"/>
      <c r="I1" s="321"/>
      <c r="J1" s="321"/>
      <c r="L1" s="211"/>
    </row>
    <row r="2" spans="1:12" s="51" customFormat="1" x14ac:dyDescent="0.25">
      <c r="A2" s="33"/>
      <c r="D2" s="33"/>
      <c r="E2" s="33"/>
      <c r="F2" s="33"/>
      <c r="G2" s="33"/>
      <c r="H2" s="33"/>
      <c r="I2" s="33"/>
      <c r="L2" s="210"/>
    </row>
    <row r="3" spans="1:12" s="148" customFormat="1" ht="13.8" x14ac:dyDescent="0.25">
      <c r="A3" s="320" t="s">
        <v>1855</v>
      </c>
      <c r="B3" s="320"/>
      <c r="C3" s="322" t="s">
        <v>2527</v>
      </c>
      <c r="D3" s="322"/>
      <c r="E3" s="322"/>
      <c r="F3" s="322"/>
      <c r="G3" s="322"/>
      <c r="H3" s="322"/>
      <c r="I3" s="322"/>
      <c r="J3" s="322"/>
      <c r="L3" s="212"/>
    </row>
    <row r="4" spans="1:12" s="148" customFormat="1" ht="13.8" x14ac:dyDescent="0.25">
      <c r="A4" s="320" t="s">
        <v>2066</v>
      </c>
      <c r="B4" s="320"/>
      <c r="C4" s="322" t="s">
        <v>2528</v>
      </c>
      <c r="D4" s="322"/>
      <c r="E4" s="322"/>
      <c r="F4" s="322"/>
      <c r="G4" s="322"/>
      <c r="H4" s="322"/>
      <c r="I4" s="322"/>
      <c r="J4" s="322"/>
      <c r="L4" s="212"/>
    </row>
    <row r="5" spans="1:12" s="51" customFormat="1" x14ac:dyDescent="0.25">
      <c r="A5" s="33"/>
      <c r="D5" s="33"/>
      <c r="E5" s="33"/>
      <c r="F5" s="33"/>
      <c r="G5" s="33"/>
      <c r="H5" s="33"/>
      <c r="I5" s="33"/>
      <c r="L5" s="210"/>
    </row>
    <row r="6" spans="1:12" s="209" customFormat="1" ht="13.8" x14ac:dyDescent="0.25">
      <c r="A6" s="319" t="s">
        <v>2065</v>
      </c>
      <c r="B6" s="319"/>
      <c r="C6" s="207">
        <v>1</v>
      </c>
      <c r="D6" s="208"/>
      <c r="E6" s="208"/>
      <c r="F6" s="208"/>
      <c r="G6" s="208"/>
      <c r="H6" s="208"/>
      <c r="I6" s="208"/>
      <c r="K6" s="318" t="s">
        <v>2055</v>
      </c>
      <c r="L6" s="318"/>
    </row>
    <row r="7" spans="1:12" ht="13.8"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5">
      <c r="B8" t="str">
        <f>IFERROR(INDEX(Starter!B:B,MATCH(A8,Starter!A:A,0)),"")</f>
        <v/>
      </c>
      <c r="C8" t="str">
        <f>IFERROR(INDEX(Starter!C:C,MATCH(A8,Starter!A:A,0)),"")</f>
        <v/>
      </c>
      <c r="D8" s="33"/>
      <c r="E8" s="33"/>
      <c r="F8" s="33"/>
      <c r="G8" s="33"/>
      <c r="H8" s="33"/>
      <c r="I8" s="33"/>
      <c r="K8" s="33" t="s">
        <v>2058</v>
      </c>
      <c r="L8" s="104" t="s">
        <v>2059</v>
      </c>
    </row>
    <row r="9" spans="1:12" x14ac:dyDescent="0.25">
      <c r="B9" t="str">
        <f>IFERROR(INDEX(Starter!B:B,MATCH(A9,Starter!A:A,0)),"")</f>
        <v/>
      </c>
      <c r="C9" t="str">
        <f>IFERROR(INDEX(Starter!C:C,MATCH(A9,Starter!A:A,0)),"")</f>
        <v/>
      </c>
      <c r="K9" s="33" t="s">
        <v>2060</v>
      </c>
      <c r="L9" s="104" t="s">
        <v>2061</v>
      </c>
    </row>
    <row r="10" spans="1:12" x14ac:dyDescent="0.25">
      <c r="B10" t="str">
        <f>IFERROR(INDEX(Starter!B:B,MATCH(A10,Starter!A:A,0)),"")</f>
        <v/>
      </c>
      <c r="C10" t="str">
        <f>IFERROR(INDEX(Starter!C:C,MATCH(A10,Starter!A:A,0)),"")</f>
        <v/>
      </c>
      <c r="K10" s="33" t="s">
        <v>45</v>
      </c>
      <c r="L10" s="104" t="s">
        <v>2062</v>
      </c>
    </row>
    <row r="11" spans="1:12" x14ac:dyDescent="0.25">
      <c r="B11" t="str">
        <f>IFERROR(INDEX(Starter!B:B,MATCH(A11,Starter!A:A,0)),"")</f>
        <v/>
      </c>
      <c r="C11" t="str">
        <f>IFERROR(INDEX(Starter!C:C,MATCH(A11,Starter!A:A,0)),"")</f>
        <v/>
      </c>
      <c r="K11" s="33" t="s">
        <v>2063</v>
      </c>
      <c r="L11" s="104" t="s">
        <v>2064</v>
      </c>
    </row>
    <row r="12" spans="1:12" x14ac:dyDescent="0.25">
      <c r="B12" t="str">
        <f>IFERROR(INDEX(Starter!B:B,MATCH(A12,Starter!A:A,0)),"")</f>
        <v/>
      </c>
      <c r="C12" t="str">
        <f>IFERROR(INDEX(Starter!C:C,MATCH(A12,Starter!A:A,0)),"")</f>
        <v/>
      </c>
    </row>
    <row r="13" spans="1:12" x14ac:dyDescent="0.25">
      <c r="B13" t="str">
        <f>IFERROR(INDEX(Starter!B:B,MATCH(A13,Starter!A:A,0)),"")</f>
        <v/>
      </c>
      <c r="C13" t="str">
        <f>IFERROR(INDEX(Starter!C:C,MATCH(A13,Starter!A:A,0)),"")</f>
        <v/>
      </c>
    </row>
    <row r="14" spans="1:12" x14ac:dyDescent="0.25">
      <c r="B14" t="str">
        <f>IFERROR(INDEX(Starter!B:B,MATCH(A14,Starter!A:A,0)),"")</f>
        <v/>
      </c>
      <c r="C14" t="str">
        <f>IFERROR(INDEX(Starter!C:C,MATCH(A14,Starter!A:A,0)),"")</f>
        <v/>
      </c>
    </row>
    <row r="15" spans="1:12" x14ac:dyDescent="0.25">
      <c r="B15" t="str">
        <f>IFERROR(INDEX(Starter!B:B,MATCH(A15,Starter!A:A,0)),"")</f>
        <v/>
      </c>
      <c r="C15" t="str">
        <f>IFERROR(INDEX(Starter!C:C,MATCH(A15,Starter!A:A,0)),"")</f>
        <v/>
      </c>
    </row>
    <row r="16" spans="1:12" x14ac:dyDescent="0.25">
      <c r="B16" t="str">
        <f>IFERROR(INDEX(Starter!B:B,MATCH(A16,Starter!A:A,0)),"")</f>
        <v/>
      </c>
      <c r="C16" t="str">
        <f>IFERROR(INDEX(Starter!C:C,MATCH(A16,Starter!A:A,0)),"")</f>
        <v/>
      </c>
    </row>
    <row r="17" spans="2:3" x14ac:dyDescent="0.25">
      <c r="B17" t="str">
        <f>IFERROR(INDEX(Starter!B:B,MATCH(A17,Starter!A:A,0)),"")</f>
        <v/>
      </c>
      <c r="C17" t="str">
        <f>IFERROR(INDEX(Starter!C:C,MATCH(A17,Starter!A:A,0)),"")</f>
        <v/>
      </c>
    </row>
    <row r="18" spans="2:3" x14ac:dyDescent="0.25">
      <c r="B18" t="str">
        <f>IFERROR(INDEX(Starter!B:B,MATCH(A18,Starter!A:A,0)),"")</f>
        <v/>
      </c>
      <c r="C18" t="str">
        <f>IFERROR(INDEX(Starter!C:C,MATCH(A18,Starter!A:A,0)),"")</f>
        <v/>
      </c>
    </row>
    <row r="19" spans="2:3" x14ac:dyDescent="0.25">
      <c r="B19" t="str">
        <f>IFERROR(INDEX(Starter!B:B,MATCH(A19,Starter!A:A,0)),"")</f>
        <v/>
      </c>
      <c r="C19" t="str">
        <f>IFERROR(INDEX(Starter!C:C,MATCH(A19,Starter!A:A,0)),"")</f>
        <v/>
      </c>
    </row>
    <row r="20" spans="2:3" x14ac:dyDescent="0.25">
      <c r="B20" t="str">
        <f>IFERROR(INDEX(Starter!B:B,MATCH(A20,Starter!A:A,0)),"")</f>
        <v/>
      </c>
      <c r="C20" t="str">
        <f>IFERROR(INDEX(Starter!C:C,MATCH(A20,Starter!A:A,0)),"")</f>
        <v/>
      </c>
    </row>
    <row r="21" spans="2:3" x14ac:dyDescent="0.25">
      <c r="B21" t="str">
        <f>IFERROR(INDEX(Starter!B:B,MATCH(A21,Starter!A:A,0)),"")</f>
        <v/>
      </c>
      <c r="C21" t="str">
        <f>IFERROR(INDEX(Starter!C:C,MATCH(A21,Starter!A:A,0)),"")</f>
        <v/>
      </c>
    </row>
    <row r="22" spans="2:3" x14ac:dyDescent="0.25">
      <c r="B22" t="str">
        <f>IFERROR(INDEX(Starter!B:B,MATCH(A22,Starter!A:A,0)),"")</f>
        <v/>
      </c>
      <c r="C22" t="str">
        <f>IFERROR(INDEX(Starter!C:C,MATCH(A22,Starter!A:A,0)),"")</f>
        <v/>
      </c>
    </row>
    <row r="23" spans="2:3" x14ac:dyDescent="0.25">
      <c r="B23" t="str">
        <f>IFERROR(INDEX(Starter!B:B,MATCH(A23,Starter!A:A,0)),"")</f>
        <v/>
      </c>
      <c r="C23" t="str">
        <f>IFERROR(INDEX(Starter!C:C,MATCH(A23,Starter!A:A,0)),"")</f>
        <v/>
      </c>
    </row>
    <row r="24" spans="2:3" x14ac:dyDescent="0.25">
      <c r="B24" t="str">
        <f>IFERROR(INDEX(Starter!B:B,MATCH(A24,Starter!A:A,0)),"")</f>
        <v/>
      </c>
      <c r="C24" t="str">
        <f>IFERROR(INDEX(Starter!C:C,MATCH(A24,Starter!A:A,0)),"")</f>
        <v/>
      </c>
    </row>
    <row r="25" spans="2:3" x14ac:dyDescent="0.25">
      <c r="B25" t="str">
        <f>IFERROR(INDEX(Starter!B:B,MATCH(A25,Starter!A:A,0)),"")</f>
        <v/>
      </c>
      <c r="C25" t="str">
        <f>IFERROR(INDEX(Starter!C:C,MATCH(A25,Starter!A:A,0)),"")</f>
        <v/>
      </c>
    </row>
    <row r="26" spans="2:3" x14ac:dyDescent="0.25">
      <c r="B26" t="str">
        <f>IFERROR(INDEX(Starter!B:B,MATCH(A26,Starter!A:A,0)),"")</f>
        <v/>
      </c>
      <c r="C26" t="str">
        <f>IFERROR(INDEX(Starter!C:C,MATCH(A26,Starter!A:A,0)),"")</f>
        <v/>
      </c>
    </row>
    <row r="27" spans="2:3" x14ac:dyDescent="0.25">
      <c r="B27" t="str">
        <f>IFERROR(INDEX(Starter!B:B,MATCH(A27,Starter!A:A,0)),"")</f>
        <v/>
      </c>
      <c r="C27" t="str">
        <f>IFERROR(INDEX(Starter!C:C,MATCH(A27,Starter!A:A,0)),"")</f>
        <v/>
      </c>
    </row>
    <row r="28" spans="2:3" x14ac:dyDescent="0.25">
      <c r="B28" t="str">
        <f>IFERROR(INDEX(Starter!B:B,MATCH(A28,Starter!A:A,0)),"")</f>
        <v/>
      </c>
      <c r="C28" t="str">
        <f>IFERROR(INDEX(Starter!C:C,MATCH(A28,Starter!A:A,0)),"")</f>
        <v/>
      </c>
    </row>
    <row r="29" spans="2:3" x14ac:dyDescent="0.25">
      <c r="B29" t="str">
        <f>IFERROR(INDEX(Starter!B:B,MATCH(A29,Starter!A:A,0)),"")</f>
        <v/>
      </c>
      <c r="C29" t="str">
        <f>IFERROR(INDEX(Starter!C:C,MATCH(A29,Starter!A:A,0)),"")</f>
        <v/>
      </c>
    </row>
    <row r="30" spans="2:3" x14ac:dyDescent="0.25">
      <c r="B30" t="str">
        <f>IFERROR(INDEX(Starter!B:B,MATCH(A30,Starter!A:A,0)),"")</f>
        <v/>
      </c>
      <c r="C30" t="str">
        <f>IFERROR(INDEX(Starter!C:C,MATCH(A30,Starter!A:A,0)),"")</f>
        <v/>
      </c>
    </row>
    <row r="31" spans="2:3" x14ac:dyDescent="0.25">
      <c r="B31" t="str">
        <f>IFERROR(INDEX(Starter!B:B,MATCH(A31,Starter!A:A,0)),"")</f>
        <v/>
      </c>
      <c r="C31" t="str">
        <f>IFERROR(INDEX(Starter!C:C,MATCH(A31,Starter!A:A,0)),"")</f>
        <v/>
      </c>
    </row>
    <row r="32" spans="2:3" x14ac:dyDescent="0.25">
      <c r="B32" t="str">
        <f>IFERROR(INDEX(Starter!B:B,MATCH(A32,Starter!A:A,0)),"")</f>
        <v/>
      </c>
      <c r="C32" t="str">
        <f>IFERROR(INDEX(Starter!C:C,MATCH(A32,Starter!A:A,0)),"")</f>
        <v/>
      </c>
    </row>
    <row r="33" spans="2:3" x14ac:dyDescent="0.25">
      <c r="B33" t="str">
        <f>IFERROR(INDEX(Starter!B:B,MATCH(A33,Starter!A:A,0)),"")</f>
        <v/>
      </c>
      <c r="C33" t="str">
        <f>IFERROR(INDEX(Starter!C:C,MATCH(A33,Starter!A:A,0)),"")</f>
        <v/>
      </c>
    </row>
    <row r="34" spans="2:3" x14ac:dyDescent="0.25">
      <c r="B34" t="str">
        <f>IFERROR(INDEX(Starter!B:B,MATCH(A34,Starter!A:A,0)),"")</f>
        <v/>
      </c>
      <c r="C34" t="str">
        <f>IFERROR(INDEX(Starter!C:C,MATCH(A34,Starter!A:A,0)),"")</f>
        <v/>
      </c>
    </row>
    <row r="35" spans="2:3" x14ac:dyDescent="0.25">
      <c r="B35" t="str">
        <f>IFERROR(INDEX(Starter!B:B,MATCH(A35,Starter!A:A,0)),"")</f>
        <v/>
      </c>
      <c r="C35" t="str">
        <f>IFERROR(INDEX(Starter!C:C,MATCH(A35,Starter!A:A,0)),"")</f>
        <v/>
      </c>
    </row>
    <row r="36" spans="2:3" x14ac:dyDescent="0.25">
      <c r="B36" t="str">
        <f>IFERROR(INDEX(Starter!B:B,MATCH(A36,Starter!A:A,0)),"")</f>
        <v/>
      </c>
      <c r="C36" t="str">
        <f>IFERROR(INDEX(Starter!C:C,MATCH(A36,Starter!A:A,0)),"")</f>
        <v/>
      </c>
    </row>
    <row r="37" spans="2:3" x14ac:dyDescent="0.25">
      <c r="B37" t="str">
        <f>IFERROR(INDEX(Starter!B:B,MATCH(A37,Starter!A:A,0)),"")</f>
        <v/>
      </c>
      <c r="C37" t="str">
        <f>IFERROR(INDEX(Starter!C:C,MATCH(A37,Starter!A:A,0)),"")</f>
        <v/>
      </c>
    </row>
    <row r="38" spans="2:3" x14ac:dyDescent="0.25">
      <c r="B38" t="str">
        <f>IFERROR(INDEX(Starter!B:B,MATCH(A38,Starter!A:A,0)),"")</f>
        <v/>
      </c>
      <c r="C38" t="str">
        <f>IFERROR(INDEX(Starter!C:C,MATCH(A38,Starter!A:A,0)),"")</f>
        <v/>
      </c>
    </row>
    <row r="39" spans="2:3" x14ac:dyDescent="0.25">
      <c r="B39" t="str">
        <f>IFERROR(INDEX(Starter!B:B,MATCH(A39,Starter!A:A,0)),"")</f>
        <v/>
      </c>
      <c r="C39" t="str">
        <f>IFERROR(INDEX(Starter!C:C,MATCH(A39,Starter!A:A,0)),"")</f>
        <v/>
      </c>
    </row>
    <row r="40" spans="2:3" x14ac:dyDescent="0.25">
      <c r="B40" t="str">
        <f>IFERROR(INDEX(Starter!B:B,MATCH(A40,Starter!A:A,0)),"")</f>
        <v/>
      </c>
      <c r="C40" t="str">
        <f>IFERROR(INDEX(Starter!C:C,MATCH(A40,Starter!A:A,0)),"")</f>
        <v/>
      </c>
    </row>
    <row r="41" spans="2:3" x14ac:dyDescent="0.25">
      <c r="B41" t="str">
        <f>IFERROR(INDEX(Starter!B:B,MATCH(A41,Starter!A:A,0)),"")</f>
        <v/>
      </c>
      <c r="C41" t="str">
        <f>IFERROR(INDEX(Starter!C:C,MATCH(A41,Starter!A:A,0)),"")</f>
        <v/>
      </c>
    </row>
    <row r="42" spans="2:3" x14ac:dyDescent="0.25">
      <c r="B42" t="str">
        <f>IFERROR(INDEX(Starter!B:B,MATCH(A42,Starter!A:A,0)),"")</f>
        <v/>
      </c>
      <c r="C42" t="str">
        <f>IFERROR(INDEX(Starter!C:C,MATCH(A42,Starter!A:A,0)),"")</f>
        <v/>
      </c>
    </row>
    <row r="43" spans="2:3" x14ac:dyDescent="0.25">
      <c r="B43" t="str">
        <f>IFERROR(INDEX(Starter!B:B,MATCH(A43,Starter!A:A,0)),"")</f>
        <v/>
      </c>
      <c r="C43" t="str">
        <f>IFERROR(INDEX(Starter!C:C,MATCH(A43,Starter!A:A,0)),"")</f>
        <v/>
      </c>
    </row>
    <row r="44" spans="2:3" x14ac:dyDescent="0.25">
      <c r="B44" t="str">
        <f>IFERROR(INDEX(Starter!B:B,MATCH(A44,Starter!A:A,0)),"")</f>
        <v/>
      </c>
      <c r="C44" t="str">
        <f>IFERROR(INDEX(Starter!C:C,MATCH(A44,Starter!A:A,0)),"")</f>
        <v/>
      </c>
    </row>
    <row r="45" spans="2:3" x14ac:dyDescent="0.25">
      <c r="B45" t="str">
        <f>IFERROR(INDEX(Starter!B:B,MATCH(A45,Starter!A:A,0)),"")</f>
        <v/>
      </c>
      <c r="C45" t="str">
        <f>IFERROR(INDEX(Starter!C:C,MATCH(A45,Starter!A:A,0)),"")</f>
        <v/>
      </c>
    </row>
    <row r="46" spans="2:3" x14ac:dyDescent="0.25">
      <c r="B46" t="str">
        <f>IFERROR(INDEX(Starter!B:B,MATCH(A46,Starter!A:A,0)),"")</f>
        <v/>
      </c>
      <c r="C46" t="str">
        <f>IFERROR(INDEX(Starter!C:C,MATCH(A46,Starter!A:A,0)),"")</f>
        <v/>
      </c>
    </row>
    <row r="47" spans="2:3" x14ac:dyDescent="0.25">
      <c r="B47" t="str">
        <f>IFERROR(INDEX(Starter!B:B,MATCH(A47,Starter!A:A,0)),"")</f>
        <v/>
      </c>
      <c r="C47" t="str">
        <f>IFERROR(INDEX(Starter!C:C,MATCH(A47,Starter!A:A,0)),"")</f>
        <v/>
      </c>
    </row>
    <row r="48" spans="2:3" x14ac:dyDescent="0.25">
      <c r="B48" t="str">
        <f>IFERROR(INDEX(Starter!B:B,MATCH(A48,Starter!A:A,0)),"")</f>
        <v/>
      </c>
      <c r="C48" t="str">
        <f>IFERROR(INDEX(Starter!C:C,MATCH(A48,Starter!A:A,0)),"")</f>
        <v/>
      </c>
    </row>
    <row r="49" spans="2:3" x14ac:dyDescent="0.25">
      <c r="B49" t="str">
        <f>IFERROR(INDEX(Starter!B:B,MATCH(A49,Starter!A:A,0)),"")</f>
        <v/>
      </c>
      <c r="C49" t="str">
        <f>IFERROR(INDEX(Starter!C:C,MATCH(A49,Starter!A:A,0)),"")</f>
        <v/>
      </c>
    </row>
    <row r="50" spans="2:3" x14ac:dyDescent="0.25">
      <c r="B50" t="str">
        <f>IFERROR(INDEX(Starter!B:B,MATCH(A50,Starter!A:A,0)),"")</f>
        <v/>
      </c>
      <c r="C50" t="str">
        <f>IFERROR(INDEX(Starter!C:C,MATCH(A50,Starter!A:A,0)),"")</f>
        <v/>
      </c>
    </row>
    <row r="51" spans="2:3" x14ac:dyDescent="0.25">
      <c r="B51" t="str">
        <f>IFERROR(INDEX(Starter!B:B,MATCH(A51,Starter!A:A,0)),"")</f>
        <v/>
      </c>
      <c r="C51" t="str">
        <f>IFERROR(INDEX(Starter!C:C,MATCH(A51,Starter!A:A,0)),"")</f>
        <v/>
      </c>
    </row>
    <row r="52" spans="2:3" x14ac:dyDescent="0.25">
      <c r="B52" t="str">
        <f>IFERROR(INDEX(Starter!B:B,MATCH(A52,Starter!A:A,0)),"")</f>
        <v/>
      </c>
      <c r="C52" t="str">
        <f>IFERROR(INDEX(Starter!C:C,MATCH(A52,Starter!A:A,0)),"")</f>
        <v/>
      </c>
    </row>
    <row r="53" spans="2:3" x14ac:dyDescent="0.25">
      <c r="B53" t="str">
        <f>IFERROR(INDEX(Starter!B:B,MATCH(A53,Starter!A:A,0)),"")</f>
        <v/>
      </c>
      <c r="C53" t="str">
        <f>IFERROR(INDEX(Starter!C:C,MATCH(A53,Starter!A:A,0)),"")</f>
        <v/>
      </c>
    </row>
    <row r="54" spans="2:3" x14ac:dyDescent="0.25">
      <c r="B54" t="str">
        <f>IFERROR(INDEX(Starter!B:B,MATCH(A54,Starter!A:A,0)),"")</f>
        <v/>
      </c>
      <c r="C54" t="str">
        <f>IFERROR(INDEX(Starter!C:C,MATCH(A54,Starter!A:A,0)),"")</f>
        <v/>
      </c>
    </row>
    <row r="55" spans="2:3" x14ac:dyDescent="0.25">
      <c r="B55" t="str">
        <f>IFERROR(INDEX(Starter!B:B,MATCH(A55,Starter!A:A,0)),"")</f>
        <v/>
      </c>
      <c r="C55" t="str">
        <f>IFERROR(INDEX(Starter!C:C,MATCH(A55,Starter!A:A,0)),"")</f>
        <v/>
      </c>
    </row>
    <row r="56" spans="2:3" x14ac:dyDescent="0.25">
      <c r="B56" t="str">
        <f>IFERROR(INDEX(Starter!B:B,MATCH(A56,Starter!A:A,0)),"")</f>
        <v/>
      </c>
      <c r="C56" t="str">
        <f>IFERROR(INDEX(Starter!C:C,MATCH(A56,Starter!A:A,0)),"")</f>
        <v/>
      </c>
    </row>
    <row r="57" spans="2:3" x14ac:dyDescent="0.25">
      <c r="B57" t="str">
        <f>IFERROR(INDEX(Starter!B:B,MATCH(A57,Starter!A:A,0)),"")</f>
        <v/>
      </c>
      <c r="C57" t="str">
        <f>IFERROR(INDEX(Starter!C:C,MATCH(A57,Starter!A:A,0)),"")</f>
        <v/>
      </c>
    </row>
    <row r="58" spans="2:3" x14ac:dyDescent="0.25">
      <c r="B58" t="str">
        <f>IFERROR(INDEX(Starter!B:B,MATCH(A58,Starter!A:A,0)),"")</f>
        <v/>
      </c>
      <c r="C58" t="str">
        <f>IFERROR(INDEX(Starter!C:C,MATCH(A58,Starter!A:A,0)),"")</f>
        <v/>
      </c>
    </row>
    <row r="59" spans="2:3" x14ac:dyDescent="0.25">
      <c r="B59" t="str">
        <f>IFERROR(INDEX(Starter!B:B,MATCH(A59,Starter!A:A,0)),"")</f>
        <v/>
      </c>
      <c r="C59" t="str">
        <f>IFERROR(INDEX(Starter!C:C,MATCH(A59,Starter!A:A,0)),"")</f>
        <v/>
      </c>
    </row>
    <row r="60" spans="2:3" x14ac:dyDescent="0.25">
      <c r="B60" t="str">
        <f>IFERROR(INDEX(Starter!B:B,MATCH(A60,Starter!A:A,0)),"")</f>
        <v/>
      </c>
      <c r="C60" t="str">
        <f>IFERROR(INDEX(Starter!C:C,MATCH(A60,Starter!A:A,0)),"")</f>
        <v/>
      </c>
    </row>
    <row r="61" spans="2:3" x14ac:dyDescent="0.25">
      <c r="B61" t="str">
        <f>IFERROR(INDEX(Starter!B:B,MATCH(A61,Starter!A:A,0)),"")</f>
        <v/>
      </c>
      <c r="C61" t="str">
        <f>IFERROR(INDEX(Starter!C:C,MATCH(A61,Starter!A:A,0)),"")</f>
        <v/>
      </c>
    </row>
    <row r="62" spans="2:3" x14ac:dyDescent="0.25">
      <c r="B62" t="str">
        <f>IFERROR(INDEX(Starter!B:B,MATCH(A62,Starter!A:A,0)),"")</f>
        <v/>
      </c>
      <c r="C62" t="str">
        <f>IFERROR(INDEX(Starter!C:C,MATCH(A62,Starter!A:A,0)),"")</f>
        <v/>
      </c>
    </row>
    <row r="63" spans="2:3" x14ac:dyDescent="0.25">
      <c r="B63" t="str">
        <f>IFERROR(INDEX(Starter!B:B,MATCH(A63,Starter!A:A,0)),"")</f>
        <v/>
      </c>
      <c r="C63" t="str">
        <f>IFERROR(INDEX(Starter!C:C,MATCH(A63,Starter!A:A,0)),"")</f>
        <v/>
      </c>
    </row>
    <row r="64" spans="2:3" x14ac:dyDescent="0.25">
      <c r="B64" t="str">
        <f>IFERROR(INDEX(Starter!B:B,MATCH(A64,Starter!A:A,0)),"")</f>
        <v/>
      </c>
      <c r="C64" t="str">
        <f>IFERROR(INDEX(Starter!C:C,MATCH(A64,Starter!A:A,0)),"")</f>
        <v/>
      </c>
    </row>
    <row r="65" spans="2:3" x14ac:dyDescent="0.25">
      <c r="B65" t="str">
        <f>IFERROR(INDEX(Starter!B:B,MATCH(A65,Starter!A:A,0)),"")</f>
        <v/>
      </c>
      <c r="C65" t="str">
        <f>IFERROR(INDEX(Starter!C:C,MATCH(A65,Starter!A:A,0)),"")</f>
        <v/>
      </c>
    </row>
    <row r="66" spans="2:3" x14ac:dyDescent="0.25">
      <c r="B66" t="str">
        <f>IFERROR(INDEX(Starter!B:B,MATCH(A66,Starter!A:A,0)),"")</f>
        <v/>
      </c>
      <c r="C66" t="str">
        <f>IFERROR(INDEX(Starter!C:C,MATCH(A66,Starter!A:A,0)),"")</f>
        <v/>
      </c>
    </row>
    <row r="67" spans="2:3" x14ac:dyDescent="0.25">
      <c r="B67" t="str">
        <f>IFERROR(INDEX(Starter!B:B,MATCH(A67,Starter!A:A,0)),"")</f>
        <v/>
      </c>
      <c r="C67" t="str">
        <f>IFERROR(INDEX(Starter!C:C,MATCH(A67,Starter!A:A,0)),"")</f>
        <v/>
      </c>
    </row>
    <row r="68" spans="2:3" x14ac:dyDescent="0.25">
      <c r="B68" t="str">
        <f>IFERROR(INDEX(Starter!B:B,MATCH(A68,Starter!A:A,0)),"")</f>
        <v/>
      </c>
      <c r="C68" t="str">
        <f>IFERROR(INDEX(Starter!C:C,MATCH(A68,Starter!A:A,0)),"")</f>
        <v/>
      </c>
    </row>
    <row r="69" spans="2:3" x14ac:dyDescent="0.25">
      <c r="B69" t="str">
        <f>IFERROR(INDEX(Starter!B:B,MATCH(A69,Starter!A:A,0)),"")</f>
        <v/>
      </c>
      <c r="C69" t="str">
        <f>IFERROR(INDEX(Starter!C:C,MATCH(A69,Starter!A:A,0)),"")</f>
        <v/>
      </c>
    </row>
    <row r="70" spans="2:3" x14ac:dyDescent="0.25">
      <c r="B70" t="str">
        <f>IFERROR(INDEX(Starter!B:B,MATCH(A70,Starter!A:A,0)),"")</f>
        <v/>
      </c>
      <c r="C70" t="str">
        <f>IFERROR(INDEX(Starter!C:C,MATCH(A70,Starter!A:A,0)),"")</f>
        <v/>
      </c>
    </row>
    <row r="71" spans="2:3" x14ac:dyDescent="0.25">
      <c r="B71" t="str">
        <f>IFERROR(INDEX(Starter!B:B,MATCH(A71,Starter!A:A,0)),"")</f>
        <v/>
      </c>
      <c r="C71" t="str">
        <f>IFERROR(INDEX(Starter!C:C,MATCH(A71,Starter!A:A,0)),"")</f>
        <v/>
      </c>
    </row>
    <row r="72" spans="2:3" x14ac:dyDescent="0.25">
      <c r="B72" t="str">
        <f>IFERROR(INDEX(Starter!B:B,MATCH(A72,Starter!A:A,0)),"")</f>
        <v/>
      </c>
      <c r="C72" t="str">
        <f>IFERROR(INDEX(Starter!C:C,MATCH(A72,Starter!A:A,0)),"")</f>
        <v/>
      </c>
    </row>
    <row r="73" spans="2:3" x14ac:dyDescent="0.25">
      <c r="B73" t="str">
        <f>IFERROR(INDEX(Starter!B:B,MATCH(A73,Starter!A:A,0)),"")</f>
        <v/>
      </c>
      <c r="C73" t="str">
        <f>IFERROR(INDEX(Starter!C:C,MATCH(A73,Starter!A:A,0)),"")</f>
        <v/>
      </c>
    </row>
    <row r="74" spans="2:3" x14ac:dyDescent="0.25">
      <c r="B74" t="str">
        <f>IFERROR(INDEX(Starter!B:B,MATCH(A74,Starter!A:A,0)),"")</f>
        <v/>
      </c>
      <c r="C74" t="str">
        <f>IFERROR(INDEX(Starter!C:C,MATCH(A74,Starter!A:A,0)),"")</f>
        <v/>
      </c>
    </row>
    <row r="75" spans="2:3" x14ac:dyDescent="0.25">
      <c r="B75" t="str">
        <f>IFERROR(INDEX(Starter!B:B,MATCH(A75,Starter!A:A,0)),"")</f>
        <v/>
      </c>
      <c r="C75" t="str">
        <f>IFERROR(INDEX(Starter!C:C,MATCH(A75,Starter!A:A,0)),"")</f>
        <v/>
      </c>
    </row>
    <row r="76" spans="2:3" x14ac:dyDescent="0.25">
      <c r="B76" t="str">
        <f>IFERROR(INDEX(Starter!B:B,MATCH(A76,Starter!A:A,0)),"")</f>
        <v/>
      </c>
      <c r="C76" t="str">
        <f>IFERROR(INDEX(Starter!C:C,MATCH(A76,Starter!A:A,0)),"")</f>
        <v/>
      </c>
    </row>
    <row r="77" spans="2:3" x14ac:dyDescent="0.25">
      <c r="B77" t="str">
        <f>IFERROR(INDEX(Starter!B:B,MATCH(A77,Starter!A:A,0)),"")</f>
        <v/>
      </c>
      <c r="C77" t="str">
        <f>IFERROR(INDEX(Starter!C:C,MATCH(A77,Starter!A:A,0)),"")</f>
        <v/>
      </c>
    </row>
    <row r="78" spans="2:3" x14ac:dyDescent="0.25">
      <c r="B78" t="str">
        <f>IFERROR(INDEX(Starter!B:B,MATCH(A78,Starter!A:A,0)),"")</f>
        <v/>
      </c>
      <c r="C78" t="str">
        <f>IFERROR(INDEX(Starter!C:C,MATCH(A78,Starter!A:A,0)),"")</f>
        <v/>
      </c>
    </row>
    <row r="79" spans="2:3" x14ac:dyDescent="0.25">
      <c r="B79" t="str">
        <f>IFERROR(INDEX(Starter!B:B,MATCH(A79,Starter!A:A,0)),"")</f>
        <v/>
      </c>
      <c r="C79" t="str">
        <f>IFERROR(INDEX(Starter!C:C,MATCH(A79,Starter!A:A,0)),"")</f>
        <v/>
      </c>
    </row>
    <row r="80" spans="2:3" x14ac:dyDescent="0.25">
      <c r="B80" t="str">
        <f>IFERROR(INDEX(Starter!B:B,MATCH(A80,Starter!A:A,0)),"")</f>
        <v/>
      </c>
      <c r="C80" t="str">
        <f>IFERROR(INDEX(Starter!C:C,MATCH(A80,Starter!A:A,0)),"")</f>
        <v/>
      </c>
    </row>
    <row r="81" spans="2:3" x14ac:dyDescent="0.25">
      <c r="B81" t="str">
        <f>IFERROR(INDEX(Starter!B:B,MATCH(A81,Starter!A:A,0)),"")</f>
        <v/>
      </c>
      <c r="C81" t="str">
        <f>IFERROR(INDEX(Starter!C:C,MATCH(A81,Starter!A:A,0)),"")</f>
        <v/>
      </c>
    </row>
    <row r="82" spans="2:3" x14ac:dyDescent="0.25">
      <c r="B82" t="str">
        <f>IFERROR(INDEX(Starter!B:B,MATCH(A82,Starter!A:A,0)),"")</f>
        <v/>
      </c>
      <c r="C82" t="str">
        <f>IFERROR(INDEX(Starter!C:C,MATCH(A82,Starter!A:A,0)),"")</f>
        <v/>
      </c>
    </row>
    <row r="83" spans="2:3" x14ac:dyDescent="0.25">
      <c r="B83" t="str">
        <f>IFERROR(INDEX(Starter!B:B,MATCH(A83,Starter!A:A,0)),"")</f>
        <v/>
      </c>
      <c r="C83" t="str">
        <f>IFERROR(INDEX(Starter!C:C,MATCH(A83,Starter!A:A,0)),"")</f>
        <v/>
      </c>
    </row>
    <row r="84" spans="2:3" x14ac:dyDescent="0.25">
      <c r="B84" t="str">
        <f>IFERROR(INDEX(Starter!B:B,MATCH(A84,Starter!A:A,0)),"")</f>
        <v/>
      </c>
      <c r="C84" t="str">
        <f>IFERROR(INDEX(Starter!C:C,MATCH(A84,Starter!A:A,0)),"")</f>
        <v/>
      </c>
    </row>
    <row r="85" spans="2:3" x14ac:dyDescent="0.25">
      <c r="B85" t="str">
        <f>IFERROR(INDEX(Starter!B:B,MATCH(A85,Starter!A:A,0)),"")</f>
        <v/>
      </c>
      <c r="C85" t="str">
        <f>IFERROR(INDEX(Starter!C:C,MATCH(A85,Starter!A:A,0)),"")</f>
        <v/>
      </c>
    </row>
    <row r="86" spans="2:3" x14ac:dyDescent="0.25">
      <c r="B86" t="str">
        <f>IFERROR(INDEX(Starter!B:B,MATCH(A86,Starter!A:A,0)),"")</f>
        <v/>
      </c>
      <c r="C86" t="str">
        <f>IFERROR(INDEX(Starter!C:C,MATCH(A86,Starter!A:A,0)),"")</f>
        <v/>
      </c>
    </row>
    <row r="87" spans="2:3" x14ac:dyDescent="0.25">
      <c r="B87" t="str">
        <f>IFERROR(INDEX(Starter!B:B,MATCH(A87,Starter!A:A,0)),"")</f>
        <v/>
      </c>
      <c r="C87" t="str">
        <f>IFERROR(INDEX(Starter!C:C,MATCH(A87,Starter!A:A,0)),"")</f>
        <v/>
      </c>
    </row>
    <row r="88" spans="2:3" x14ac:dyDescent="0.25">
      <c r="B88" t="str">
        <f>IFERROR(INDEX(Starter!B:B,MATCH(A88,Starter!A:A,0)),"")</f>
        <v/>
      </c>
      <c r="C88" t="str">
        <f>IFERROR(INDEX(Starter!C:C,MATCH(A88,Starter!A:A,0)),"")</f>
        <v/>
      </c>
    </row>
    <row r="89" spans="2:3" x14ac:dyDescent="0.25">
      <c r="B89" t="str">
        <f>IFERROR(INDEX(Starter!B:B,MATCH(A89,Starter!A:A,0)),"")</f>
        <v/>
      </c>
      <c r="C89" t="str">
        <f>IFERROR(INDEX(Starter!C:C,MATCH(A89,Starter!A:A,0)),"")</f>
        <v/>
      </c>
    </row>
    <row r="90" spans="2:3" x14ac:dyDescent="0.25">
      <c r="B90" t="str">
        <f>IFERROR(INDEX(Starter!B:B,MATCH(A90,Starter!A:A,0)),"")</f>
        <v/>
      </c>
      <c r="C90" t="str">
        <f>IFERROR(INDEX(Starter!C:C,MATCH(A90,Starter!A:A,0)),"")</f>
        <v/>
      </c>
    </row>
    <row r="91" spans="2:3" x14ac:dyDescent="0.25">
      <c r="B91" t="str">
        <f>IFERROR(INDEX(Starter!B:B,MATCH(A91,Starter!A:A,0)),"")</f>
        <v/>
      </c>
      <c r="C91" t="str">
        <f>IFERROR(INDEX(Starter!C:C,MATCH(A91,Starter!A:A,0)),"")</f>
        <v/>
      </c>
    </row>
    <row r="92" spans="2:3" x14ac:dyDescent="0.25">
      <c r="B92" t="str">
        <f>IFERROR(INDEX(Starter!B:B,MATCH(A92,Starter!A:A,0)),"")</f>
        <v/>
      </c>
      <c r="C92" t="str">
        <f>IFERROR(INDEX(Starter!C:C,MATCH(A92,Starter!A:A,0)),"")</f>
        <v/>
      </c>
    </row>
    <row r="93" spans="2:3" x14ac:dyDescent="0.25">
      <c r="B93" t="str">
        <f>IFERROR(INDEX(Starter!B:B,MATCH(A93,Starter!A:A,0)),"")</f>
        <v/>
      </c>
      <c r="C93" t="str">
        <f>IFERROR(INDEX(Starter!C:C,MATCH(A93,Starter!A:A,0)),"")</f>
        <v/>
      </c>
    </row>
    <row r="94" spans="2:3" x14ac:dyDescent="0.25">
      <c r="B94" t="str">
        <f>IFERROR(INDEX(Starter!B:B,MATCH(A94,Starter!A:A,0)),"")</f>
        <v/>
      </c>
      <c r="C94" t="str">
        <f>IFERROR(INDEX(Starter!C:C,MATCH(A94,Starter!A:A,0)),"")</f>
        <v/>
      </c>
    </row>
    <row r="95" spans="2:3" x14ac:dyDescent="0.25">
      <c r="B95" t="str">
        <f>IFERROR(INDEX(Starter!B:B,MATCH(A95,Starter!A:A,0)),"")</f>
        <v/>
      </c>
      <c r="C95" t="str">
        <f>IFERROR(INDEX(Starter!C:C,MATCH(A95,Starter!A:A,0)),"")</f>
        <v/>
      </c>
    </row>
    <row r="96" spans="2:3" x14ac:dyDescent="0.25">
      <c r="B96" t="str">
        <f>IFERROR(INDEX(Starter!B:B,MATCH(A96,Starter!A:A,0)),"")</f>
        <v/>
      </c>
      <c r="C96" t="str">
        <f>IFERROR(INDEX(Starter!C:C,MATCH(A96,Starter!A:A,0)),"")</f>
        <v/>
      </c>
    </row>
    <row r="97" spans="2:3" x14ac:dyDescent="0.25">
      <c r="B97" t="str">
        <f>IFERROR(INDEX(Starter!B:B,MATCH(A97,Starter!A:A,0)),"")</f>
        <v/>
      </c>
      <c r="C97" t="str">
        <f>IFERROR(INDEX(Starter!C:C,MATCH(A97,Starter!A:A,0)),"")</f>
        <v/>
      </c>
    </row>
    <row r="98" spans="2:3" x14ac:dyDescent="0.25">
      <c r="B98" t="str">
        <f>IFERROR(INDEX(Starter!B:B,MATCH(A98,Starter!A:A,0)),"")</f>
        <v/>
      </c>
      <c r="C98" t="str">
        <f>IFERROR(INDEX(Starter!C:C,MATCH(A98,Starter!A:A,0)),"")</f>
        <v/>
      </c>
    </row>
    <row r="99" spans="2:3" x14ac:dyDescent="0.25">
      <c r="B99" t="str">
        <f>IFERROR(INDEX(Starter!B:B,MATCH(A99,Starter!A:A,0)),"")</f>
        <v/>
      </c>
      <c r="C99" t="str">
        <f>IFERROR(INDEX(Starter!C:C,MATCH(A99,Starter!A:A,0)),"")</f>
        <v/>
      </c>
    </row>
    <row r="100" spans="2:3" x14ac:dyDescent="0.25">
      <c r="B100" t="str">
        <f>IFERROR(INDEX(Starter!B:B,MATCH(A100,Starter!A:A,0)),"")</f>
        <v/>
      </c>
      <c r="C100" t="str">
        <f>IFERROR(INDEX(Starter!C:C,MATCH(A100,Starter!A:A,0)),"")</f>
        <v/>
      </c>
    </row>
    <row r="101" spans="2:3" x14ac:dyDescent="0.25">
      <c r="B101" t="str">
        <f>IFERROR(INDEX(Starter!B:B,MATCH(A101,Starter!A:A,0)),"")</f>
        <v/>
      </c>
      <c r="C101" t="str">
        <f>IFERROR(INDEX(Starter!C:C,MATCH(A101,Starter!A:A,0)),"")</f>
        <v/>
      </c>
    </row>
    <row r="102" spans="2:3" x14ac:dyDescent="0.25">
      <c r="B102" t="str">
        <f>IFERROR(INDEX(Starter!B:B,MATCH(A102,Starter!A:A,0)),"")</f>
        <v/>
      </c>
      <c r="C102" t="str">
        <f>IFERROR(INDEX(Starter!C:C,MATCH(A102,Starter!A:A,0)),"")</f>
        <v/>
      </c>
    </row>
    <row r="103" spans="2:3" x14ac:dyDescent="0.25">
      <c r="B103" t="str">
        <f>IFERROR(INDEX(Starter!B:B,MATCH(A103,Starter!A:A,0)),"")</f>
        <v/>
      </c>
      <c r="C103" t="str">
        <f>IFERROR(INDEX(Starter!C:C,MATCH(A103,Starter!A:A,0)),"")</f>
        <v/>
      </c>
    </row>
    <row r="104" spans="2:3" x14ac:dyDescent="0.25">
      <c r="B104" t="str">
        <f>IFERROR(INDEX(Starter!B:B,MATCH(A104,Starter!A:A,0)),"")</f>
        <v/>
      </c>
      <c r="C104" t="str">
        <f>IFERROR(INDEX(Starter!C:C,MATCH(A104,Starter!A:A,0)),"")</f>
        <v/>
      </c>
    </row>
    <row r="105" spans="2:3" x14ac:dyDescent="0.25">
      <c r="B105" t="str">
        <f>IFERROR(INDEX(Starter!B:B,MATCH(A105,Starter!A:A,0)),"")</f>
        <v/>
      </c>
      <c r="C105" t="str">
        <f>IFERROR(INDEX(Starter!C:C,MATCH(A105,Starter!A:A,0)),"")</f>
        <v/>
      </c>
    </row>
    <row r="106" spans="2:3" x14ac:dyDescent="0.25">
      <c r="B106" t="str">
        <f>IFERROR(INDEX(Starter!B:B,MATCH(A106,Starter!A:A,0)),"")</f>
        <v/>
      </c>
      <c r="C106" t="str">
        <f>IFERROR(INDEX(Starter!C:C,MATCH(A106,Starter!A:A,0)),"")</f>
        <v/>
      </c>
    </row>
    <row r="107" spans="2:3" x14ac:dyDescent="0.25">
      <c r="B107" t="str">
        <f>IFERROR(INDEX(Starter!B:B,MATCH(A107,Starter!A:A,0)),"")</f>
        <v/>
      </c>
      <c r="C107" t="str">
        <f>IFERROR(INDEX(Starter!C:C,MATCH(A107,Starter!A:A,0)),"")</f>
        <v/>
      </c>
    </row>
    <row r="108" spans="2:3" x14ac:dyDescent="0.25">
      <c r="B108" t="str">
        <f>IFERROR(INDEX(Starter!B:B,MATCH(A108,Starter!A:A,0)),"")</f>
        <v/>
      </c>
      <c r="C108" t="str">
        <f>IFERROR(INDEX(Starter!C:C,MATCH(A108,Starter!A:A,0)),"")</f>
        <v/>
      </c>
    </row>
    <row r="109" spans="2:3" x14ac:dyDescent="0.25">
      <c r="B109" t="str">
        <f>IFERROR(INDEX(Starter!B:B,MATCH(A109,Starter!A:A,0)),"")</f>
        <v/>
      </c>
      <c r="C109" t="str">
        <f>IFERROR(INDEX(Starter!C:C,MATCH(A109,Starter!A:A,0)),"")</f>
        <v/>
      </c>
    </row>
    <row r="110" spans="2:3" x14ac:dyDescent="0.25">
      <c r="B110" t="str">
        <f>IFERROR(INDEX(Starter!B:B,MATCH(A110,Starter!A:A,0)),"")</f>
        <v/>
      </c>
      <c r="C110" t="str">
        <f>IFERROR(INDEX(Starter!C:C,MATCH(A110,Starter!A:A,0)),"")</f>
        <v/>
      </c>
    </row>
    <row r="111" spans="2:3" x14ac:dyDescent="0.25">
      <c r="B111" t="str">
        <f>IFERROR(INDEX(Starter!B:B,MATCH(A111,Starter!A:A,0)),"")</f>
        <v/>
      </c>
      <c r="C111" t="str">
        <f>IFERROR(INDEX(Starter!C:C,MATCH(A111,Starter!A:A,0)),"")</f>
        <v/>
      </c>
    </row>
  </sheetData>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7" t="s">
        <v>1820</v>
      </c>
      <c r="C2" s="337"/>
      <c r="D2" s="337"/>
      <c r="E2" s="337"/>
      <c r="F2" s="337"/>
      <c r="G2" s="337"/>
      <c r="H2" s="337"/>
      <c r="I2" s="337"/>
      <c r="J2" s="337"/>
      <c r="K2" s="337"/>
      <c r="L2" s="337"/>
      <c r="M2" s="337"/>
      <c r="N2" s="337"/>
      <c r="O2" s="337"/>
      <c r="P2" s="337"/>
      <c r="Q2" s="337"/>
      <c r="R2" s="337"/>
      <c r="S2" s="337"/>
      <c r="T2" s="337"/>
      <c r="U2" s="337"/>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8"/>
      <c r="R4" s="338"/>
      <c r="S4" s="338"/>
      <c r="T4" s="338"/>
      <c r="U4" s="338"/>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9">
        <f>+Spielzettel1!M2</f>
        <v>1</v>
      </c>
      <c r="F6" s="340"/>
      <c r="P6" s="128" t="s">
        <v>1821</v>
      </c>
      <c r="Q6" s="341" t="str">
        <f>+Spielzettel1!L1</f>
        <v>29.09.</v>
      </c>
      <c r="R6" s="342">
        <v>0</v>
      </c>
      <c r="S6" s="342">
        <v>0</v>
      </c>
      <c r="T6" s="343">
        <v>0</v>
      </c>
      <c r="U6" s="61"/>
    </row>
    <row r="7" spans="2:21" x14ac:dyDescent="0.25">
      <c r="B7" s="60"/>
      <c r="C7" s="128"/>
      <c r="D7" s="128"/>
      <c r="U7" s="61"/>
    </row>
    <row r="8" spans="2:21" x14ac:dyDescent="0.25">
      <c r="B8" s="60"/>
      <c r="C8" s="128" t="s">
        <v>1822</v>
      </c>
      <c r="D8" s="128"/>
      <c r="E8" s="344" t="str">
        <f>+Spielzettel1!D2</f>
        <v>Nürnberg West Bowling</v>
      </c>
      <c r="F8" s="345"/>
      <c r="G8" s="345"/>
      <c r="H8" s="345">
        <v>0</v>
      </c>
      <c r="I8" s="345"/>
      <c r="J8" s="346"/>
      <c r="N8" s="128" t="s">
        <v>1823</v>
      </c>
      <c r="P8" s="344" t="str">
        <f>+Spielzettel1!D1</f>
        <v>Landesliga Nord Frauen</v>
      </c>
      <c r="Q8" s="345"/>
      <c r="R8" s="345"/>
      <c r="S8" s="345"/>
      <c r="T8" s="346"/>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1" t="s">
        <v>1824</v>
      </c>
      <c r="D11" s="331"/>
      <c r="E11" s="331"/>
      <c r="F11" s="331"/>
      <c r="G11" s="331"/>
      <c r="H11" s="331"/>
      <c r="I11" s="331"/>
      <c r="J11" s="331"/>
      <c r="K11" s="331"/>
      <c r="L11" s="331"/>
      <c r="M11" s="331"/>
      <c r="N11" s="331"/>
      <c r="O11" s="331"/>
      <c r="P11" s="331"/>
      <c r="Q11" s="331"/>
      <c r="R11" s="331"/>
      <c r="S11" s="331"/>
      <c r="T11" s="331"/>
      <c r="U11" s="131"/>
    </row>
    <row r="12" spans="2:21" ht="21.75" customHeight="1" x14ac:dyDescent="0.25">
      <c r="B12" s="132"/>
      <c r="C12" s="332" t="s">
        <v>1825</v>
      </c>
      <c r="D12" s="332"/>
      <c r="E12" s="332"/>
      <c r="F12" s="332"/>
      <c r="G12" s="332"/>
      <c r="H12" s="332"/>
      <c r="I12" s="332"/>
      <c r="J12" s="332"/>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2529</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2529</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5"/>
      <c r="D19" s="326"/>
      <c r="E19" s="333"/>
      <c r="F19" s="333"/>
      <c r="G19" s="333"/>
      <c r="H19" s="333"/>
      <c r="I19" s="333"/>
      <c r="J19" s="333"/>
      <c r="K19" s="333"/>
      <c r="L19" s="333"/>
      <c r="M19" s="333"/>
      <c r="N19" s="333"/>
      <c r="O19" s="333"/>
      <c r="P19" s="333"/>
      <c r="Q19" s="333"/>
      <c r="R19" s="333"/>
      <c r="S19" s="333"/>
      <c r="T19" s="334"/>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2529</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5" t="s">
        <v>2410</v>
      </c>
      <c r="D24" s="326"/>
      <c r="E24" s="326"/>
      <c r="F24" s="326"/>
      <c r="G24" s="326"/>
      <c r="H24" s="326"/>
      <c r="I24" s="326"/>
      <c r="J24" s="326"/>
      <c r="K24" s="326"/>
      <c r="L24" s="326"/>
      <c r="M24" s="326"/>
      <c r="N24" s="326"/>
      <c r="O24" s="326"/>
      <c r="P24" s="326"/>
      <c r="Q24" s="326"/>
      <c r="R24" s="326"/>
      <c r="S24" s="326"/>
      <c r="T24" s="327"/>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5"/>
      <c r="D29" s="326"/>
      <c r="E29" s="326"/>
      <c r="F29" s="326"/>
      <c r="G29" s="326"/>
      <c r="H29" s="326"/>
      <c r="I29" s="326"/>
      <c r="J29" s="326"/>
      <c r="K29" s="326"/>
      <c r="L29" s="326"/>
      <c r="M29" s="326"/>
      <c r="N29" s="326"/>
      <c r="O29" s="326"/>
      <c r="P29" s="326"/>
      <c r="Q29" s="326"/>
      <c r="R29" s="326"/>
      <c r="S29" s="326"/>
      <c r="T29" s="327"/>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2529</v>
      </c>
      <c r="L34" t="s">
        <v>1829</v>
      </c>
      <c r="U34" s="61"/>
    </row>
    <row r="35" spans="2:21" ht="17.25" customHeight="1" x14ac:dyDescent="0.25">
      <c r="B35" s="60"/>
      <c r="C35" s="136" t="s">
        <v>1839</v>
      </c>
      <c r="D35" s="136"/>
      <c r="F35" s="335"/>
      <c r="G35" s="335"/>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5"/>
      <c r="D37" s="326"/>
      <c r="E37" s="326"/>
      <c r="F37" s="326"/>
      <c r="G37" s="326"/>
      <c r="H37" s="326"/>
      <c r="I37" s="326"/>
      <c r="J37" s="326"/>
      <c r="K37" s="326"/>
      <c r="L37" s="326"/>
      <c r="M37" s="326"/>
      <c r="N37" s="326"/>
      <c r="O37" s="326"/>
      <c r="P37" s="326"/>
      <c r="Q37" s="326"/>
      <c r="R37" s="326"/>
      <c r="S37" s="326"/>
      <c r="T37" s="327"/>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2529</v>
      </c>
      <c r="H40" t="s">
        <v>1842</v>
      </c>
      <c r="J40" s="137"/>
      <c r="L40" s="151" t="s">
        <v>1843</v>
      </c>
      <c r="N40" s="137"/>
      <c r="P40" t="s">
        <v>1844</v>
      </c>
      <c r="U40" s="61"/>
    </row>
    <row r="41" spans="2:21" ht="16.5" customHeight="1" x14ac:dyDescent="0.25">
      <c r="B41" s="60"/>
      <c r="C41" s="152" t="s">
        <v>1845</v>
      </c>
      <c r="D41" s="152"/>
      <c r="F41" s="336"/>
      <c r="G41" s="336"/>
      <c r="H41" s="336"/>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5"/>
      <c r="D45" s="326"/>
      <c r="E45" s="326"/>
      <c r="F45" s="326"/>
      <c r="G45" s="326"/>
      <c r="H45" s="326"/>
      <c r="I45" s="326"/>
      <c r="J45" s="326"/>
      <c r="K45" s="326"/>
      <c r="L45" s="326"/>
      <c r="M45" s="326"/>
      <c r="N45" s="326"/>
      <c r="O45" s="326"/>
      <c r="P45" s="326"/>
      <c r="Q45" s="326"/>
      <c r="R45" s="326"/>
      <c r="S45" s="326"/>
      <c r="T45" s="327"/>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1" t="s">
        <v>1847</v>
      </c>
      <c r="D48" s="331"/>
      <c r="E48" s="331"/>
      <c r="F48" s="331"/>
      <c r="G48" s="331"/>
      <c r="H48" s="331"/>
      <c r="I48" s="331"/>
      <c r="J48" s="331"/>
      <c r="K48" s="331"/>
      <c r="L48" s="331"/>
      <c r="M48" s="331"/>
      <c r="N48" s="331"/>
      <c r="O48" s="331"/>
      <c r="P48" s="331"/>
      <c r="Q48" s="331"/>
      <c r="R48" s="331"/>
      <c r="S48" s="331"/>
      <c r="T48" s="331"/>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5"/>
      <c r="D52" s="326"/>
      <c r="E52" s="326"/>
      <c r="F52" s="326"/>
      <c r="G52" s="326"/>
      <c r="H52" s="326"/>
      <c r="I52" s="326"/>
      <c r="J52" s="326"/>
      <c r="K52" s="326"/>
      <c r="L52" s="326"/>
      <c r="M52" s="326"/>
      <c r="N52" s="326"/>
      <c r="O52" s="326"/>
      <c r="P52" s="326"/>
      <c r="Q52" s="326"/>
      <c r="R52" s="326"/>
      <c r="S52" s="326"/>
      <c r="T52" s="327"/>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5"/>
      <c r="D56" s="326"/>
      <c r="E56" s="326"/>
      <c r="F56" s="326"/>
      <c r="G56" s="326"/>
      <c r="H56" s="326"/>
      <c r="I56" s="326"/>
      <c r="J56" s="326"/>
      <c r="K56" s="326"/>
      <c r="L56" s="326"/>
      <c r="M56" s="326"/>
      <c r="N56" s="326"/>
      <c r="O56" s="326"/>
      <c r="P56" s="326"/>
      <c r="Q56" s="326"/>
      <c r="R56" s="326"/>
      <c r="S56" s="326"/>
      <c r="T56" s="327"/>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5"/>
      <c r="D60" s="326"/>
      <c r="E60" s="326"/>
      <c r="F60" s="326"/>
      <c r="G60" s="326"/>
      <c r="H60" s="326"/>
      <c r="I60" s="326"/>
      <c r="J60" s="326"/>
      <c r="K60" s="326"/>
      <c r="L60" s="326"/>
      <c r="M60" s="326"/>
      <c r="N60" s="326"/>
      <c r="O60" s="326"/>
      <c r="P60" s="326"/>
      <c r="Q60" s="326"/>
      <c r="R60" s="326"/>
      <c r="S60" s="326"/>
      <c r="T60" s="327"/>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5"/>
      <c r="D64" s="326"/>
      <c r="E64" s="326"/>
      <c r="F64" s="326"/>
      <c r="G64" s="326"/>
      <c r="H64" s="326"/>
      <c r="I64" s="326"/>
      <c r="J64" s="326"/>
      <c r="K64" s="326"/>
      <c r="L64" s="326"/>
      <c r="M64" s="326"/>
      <c r="N64" s="326"/>
      <c r="O64" s="326"/>
      <c r="P64" s="326"/>
      <c r="Q64" s="326"/>
      <c r="R64" s="326"/>
      <c r="S64" s="326"/>
      <c r="T64" s="327"/>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5"/>
      <c r="D68" s="326"/>
      <c r="E68" s="326"/>
      <c r="F68" s="326"/>
      <c r="G68" s="326"/>
      <c r="H68" s="326"/>
      <c r="I68" s="326"/>
      <c r="J68" s="326"/>
      <c r="K68" s="326"/>
      <c r="L68" s="326"/>
      <c r="M68" s="326"/>
      <c r="N68" s="326"/>
      <c r="O68" s="326"/>
      <c r="P68" s="326"/>
      <c r="Q68" s="326"/>
      <c r="R68" s="326"/>
      <c r="S68" s="326"/>
      <c r="T68" s="327"/>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5"/>
      <c r="D72" s="326"/>
      <c r="E72" s="326"/>
      <c r="F72" s="326"/>
      <c r="G72" s="326"/>
      <c r="H72" s="326"/>
      <c r="I72" s="326"/>
      <c r="J72" s="326"/>
      <c r="K72" s="326"/>
      <c r="L72" s="326"/>
      <c r="M72" s="326"/>
      <c r="N72" s="326"/>
      <c r="O72" s="326"/>
      <c r="P72" s="326"/>
      <c r="Q72" s="326"/>
      <c r="R72" s="326"/>
      <c r="S72" s="326"/>
      <c r="T72" s="327"/>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8" t="s">
        <v>2530</v>
      </c>
      <c r="D79" s="329"/>
      <c r="E79" s="329"/>
      <c r="F79" s="329"/>
      <c r="G79" s="329"/>
      <c r="H79" s="329"/>
      <c r="I79" s="329"/>
      <c r="J79" s="329"/>
      <c r="K79" s="329"/>
      <c r="L79" s="329"/>
      <c r="M79" s="329"/>
      <c r="N79" s="329"/>
      <c r="O79" s="329"/>
      <c r="P79" s="329"/>
      <c r="Q79" s="329"/>
      <c r="R79" s="329"/>
      <c r="S79" s="329"/>
      <c r="T79" s="330"/>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t="s">
        <v>2531</v>
      </c>
      <c r="E82" s="324"/>
      <c r="F82" s="324"/>
      <c r="G82" s="324"/>
      <c r="H82" s="324"/>
      <c r="I82" s="324"/>
      <c r="J82" s="324"/>
      <c r="K82" s="324"/>
      <c r="L82" s="324"/>
      <c r="M82" s="324"/>
      <c r="P82" s="324"/>
      <c r="Q82" s="324"/>
      <c r="R82" s="324"/>
      <c r="S82" s="324"/>
      <c r="T82" s="324"/>
      <c r="U82" s="324"/>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t="s">
        <v>2532</v>
      </c>
      <c r="E85" s="324"/>
      <c r="F85" s="324"/>
      <c r="G85" s="324"/>
      <c r="H85" s="324"/>
      <c r="I85" s="324"/>
      <c r="J85" s="324"/>
      <c r="K85" s="324"/>
      <c r="L85" s="324"/>
      <c r="M85" s="324"/>
      <c r="P85" s="324"/>
      <c r="Q85" s="324"/>
      <c r="R85" s="324"/>
      <c r="S85" s="324"/>
      <c r="T85" s="324"/>
      <c r="U85" s="324"/>
    </row>
    <row r="86" spans="1:21" x14ac:dyDescent="0.25">
      <c r="C86" s="158"/>
      <c r="D86" s="49" t="s">
        <v>1856</v>
      </c>
      <c r="P86" s="159" t="s">
        <v>1857</v>
      </c>
    </row>
  </sheetData>
  <sheetProtection password="D19C" sheet="1" formatCells="0" formatColumns="0" formatRows="0"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2" t="str">
        <f>Schlüssel!$M$1</f>
        <v>29.09.</v>
      </c>
      <c r="M1" s="362"/>
      <c r="N1" s="362"/>
      <c r="O1" s="362"/>
      <c r="P1" s="362"/>
      <c r="AE1" s="90" t="s">
        <v>1809</v>
      </c>
    </row>
    <row r="2" spans="1:31" ht="17.25" customHeight="1" thickBot="1" x14ac:dyDescent="0.35">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5">
      <c r="B5" s="40" t="s">
        <v>1</v>
      </c>
      <c r="C5" s="41"/>
      <c r="D5" s="363" t="s">
        <v>1789</v>
      </c>
      <c r="E5" s="364"/>
      <c r="F5" s="363" t="s">
        <v>1790</v>
      </c>
      <c r="G5" s="364"/>
      <c r="H5" s="363" t="s">
        <v>1791</v>
      </c>
      <c r="I5" s="364"/>
      <c r="J5" s="363" t="s">
        <v>1792</v>
      </c>
      <c r="K5" s="364"/>
      <c r="L5" s="363" t="s">
        <v>1793</v>
      </c>
      <c r="M5" s="364"/>
      <c r="N5" s="363" t="s">
        <v>2088</v>
      </c>
      <c r="O5" s="364"/>
      <c r="P5" s="365" t="s">
        <v>1788</v>
      </c>
      <c r="Q5" s="36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9" t="s">
        <v>0</v>
      </c>
      <c r="B7" s="17"/>
      <c r="C7" s="18"/>
      <c r="D7" s="14"/>
      <c r="E7" s="356"/>
      <c r="F7" s="14"/>
      <c r="G7" s="356"/>
      <c r="H7" s="14"/>
      <c r="I7" s="356"/>
      <c r="J7" s="14"/>
      <c r="K7" s="356"/>
      <c r="L7" s="14"/>
      <c r="M7" s="356"/>
      <c r="N7" s="14"/>
      <c r="O7" s="356"/>
      <c r="P7" s="14"/>
      <c r="Q7" s="356"/>
    </row>
    <row r="8" spans="1:31" ht="17.100000000000001" customHeight="1" x14ac:dyDescent="0.25">
      <c r="A8" s="360"/>
      <c r="B8" s="19"/>
      <c r="C8" s="20"/>
      <c r="D8" s="15"/>
      <c r="E8" s="357"/>
      <c r="F8" s="15"/>
      <c r="G8" s="357"/>
      <c r="H8" s="15"/>
      <c r="I8" s="357"/>
      <c r="J8" s="15"/>
      <c r="K8" s="357"/>
      <c r="L8" s="15"/>
      <c r="M8" s="357"/>
      <c r="N8" s="15"/>
      <c r="O8" s="357"/>
      <c r="P8" s="15"/>
      <c r="Q8" s="357"/>
    </row>
    <row r="9" spans="1:31" ht="17.100000000000001" customHeight="1" thickBot="1" x14ac:dyDescent="0.3">
      <c r="A9" s="361"/>
      <c r="B9" s="21"/>
      <c r="C9" s="22"/>
      <c r="D9" s="9"/>
      <c r="E9" s="358"/>
      <c r="F9" s="9"/>
      <c r="G9" s="358"/>
      <c r="H9" s="9"/>
      <c r="I9" s="358"/>
      <c r="J9" s="9"/>
      <c r="K9" s="358"/>
      <c r="L9" s="9"/>
      <c r="M9" s="358"/>
      <c r="N9" s="9"/>
      <c r="O9" s="358"/>
      <c r="P9" s="9"/>
      <c r="Q9" s="358"/>
    </row>
    <row r="10" spans="1:31" ht="17.100000000000001" customHeight="1" x14ac:dyDescent="0.25">
      <c r="A10" s="359" t="s">
        <v>2</v>
      </c>
      <c r="B10" s="17"/>
      <c r="C10" s="18"/>
      <c r="D10" s="14"/>
      <c r="E10" s="356"/>
      <c r="F10" s="14"/>
      <c r="G10" s="356"/>
      <c r="H10" s="14"/>
      <c r="I10" s="356"/>
      <c r="J10" s="14"/>
      <c r="K10" s="356"/>
      <c r="L10" s="14"/>
      <c r="M10" s="356"/>
      <c r="N10" s="14"/>
      <c r="O10" s="356"/>
      <c r="P10" s="14"/>
      <c r="Q10" s="356"/>
    </row>
    <row r="11" spans="1:31" ht="17.100000000000001" customHeight="1" x14ac:dyDescent="0.25">
      <c r="A11" s="360"/>
      <c r="B11" s="19"/>
      <c r="C11" s="20"/>
      <c r="D11" s="15"/>
      <c r="E11" s="357"/>
      <c r="F11" s="15"/>
      <c r="G11" s="357"/>
      <c r="H11" s="15"/>
      <c r="I11" s="357"/>
      <c r="J11" s="15"/>
      <c r="K11" s="357"/>
      <c r="L11" s="15"/>
      <c r="M11" s="357"/>
      <c r="N11" s="15"/>
      <c r="O11" s="357"/>
      <c r="P11" s="15"/>
      <c r="Q11" s="357"/>
    </row>
    <row r="12" spans="1:31" ht="17.100000000000001" customHeight="1" thickBot="1" x14ac:dyDescent="0.3">
      <c r="A12" s="361"/>
      <c r="B12" s="21"/>
      <c r="C12" s="22"/>
      <c r="D12" s="9"/>
      <c r="E12" s="358"/>
      <c r="F12" s="9"/>
      <c r="G12" s="358"/>
      <c r="H12" s="9"/>
      <c r="I12" s="358"/>
      <c r="J12" s="9"/>
      <c r="K12" s="358"/>
      <c r="L12" s="9"/>
      <c r="M12" s="358"/>
      <c r="N12" s="9"/>
      <c r="O12" s="358"/>
      <c r="P12" s="9"/>
      <c r="Q12" s="358"/>
    </row>
    <row r="13" spans="1:31" ht="17.100000000000001" customHeight="1" x14ac:dyDescent="0.25">
      <c r="A13" s="359" t="s">
        <v>3</v>
      </c>
      <c r="B13" s="17"/>
      <c r="C13" s="18"/>
      <c r="D13" s="14"/>
      <c r="E13" s="356"/>
      <c r="F13" s="14"/>
      <c r="G13" s="356"/>
      <c r="H13" s="14"/>
      <c r="I13" s="356"/>
      <c r="J13" s="14"/>
      <c r="K13" s="356"/>
      <c r="L13" s="14"/>
      <c r="M13" s="356"/>
      <c r="N13" s="14"/>
      <c r="O13" s="356"/>
      <c r="P13" s="14"/>
      <c r="Q13" s="356"/>
    </row>
    <row r="14" spans="1:31" ht="17.100000000000001" customHeight="1" x14ac:dyDescent="0.25">
      <c r="A14" s="360"/>
      <c r="B14" s="19"/>
      <c r="C14" s="20"/>
      <c r="D14" s="15"/>
      <c r="E14" s="357"/>
      <c r="F14" s="15"/>
      <c r="G14" s="357"/>
      <c r="H14" s="15"/>
      <c r="I14" s="357"/>
      <c r="J14" s="15"/>
      <c r="K14" s="357"/>
      <c r="L14" s="15"/>
      <c r="M14" s="357"/>
      <c r="N14" s="15"/>
      <c r="O14" s="357"/>
      <c r="P14" s="15"/>
      <c r="Q14" s="357"/>
    </row>
    <row r="15" spans="1:31" ht="17.100000000000001" customHeight="1" thickBot="1" x14ac:dyDescent="0.3">
      <c r="A15" s="361"/>
      <c r="B15" s="21"/>
      <c r="C15" s="22"/>
      <c r="D15" s="9"/>
      <c r="E15" s="358"/>
      <c r="F15" s="9"/>
      <c r="G15" s="358"/>
      <c r="H15" s="9"/>
      <c r="I15" s="358"/>
      <c r="J15" s="9"/>
      <c r="K15" s="358"/>
      <c r="L15" s="9"/>
      <c r="M15" s="358"/>
      <c r="N15" s="9"/>
      <c r="O15" s="358"/>
      <c r="P15" s="9"/>
      <c r="Q15" s="358"/>
    </row>
    <row r="16" spans="1:31" ht="17.100000000000001" customHeight="1" x14ac:dyDescent="0.25">
      <c r="A16" s="359" t="s">
        <v>11</v>
      </c>
      <c r="B16" s="17"/>
      <c r="C16" s="18"/>
      <c r="D16" s="14"/>
      <c r="E16" s="356"/>
      <c r="F16" s="14"/>
      <c r="G16" s="356"/>
      <c r="H16" s="14"/>
      <c r="I16" s="356"/>
      <c r="J16" s="14"/>
      <c r="K16" s="356"/>
      <c r="L16" s="14"/>
      <c r="M16" s="356"/>
      <c r="N16" s="14"/>
      <c r="O16" s="356"/>
      <c r="P16" s="14"/>
      <c r="Q16" s="356"/>
    </row>
    <row r="17" spans="1:31" ht="17.100000000000001" customHeight="1" x14ac:dyDescent="0.25">
      <c r="A17" s="360"/>
      <c r="B17" s="19"/>
      <c r="C17" s="20"/>
      <c r="D17" s="15"/>
      <c r="E17" s="357"/>
      <c r="F17" s="15"/>
      <c r="G17" s="357"/>
      <c r="H17" s="15"/>
      <c r="I17" s="357"/>
      <c r="J17" s="15"/>
      <c r="K17" s="357"/>
      <c r="L17" s="15"/>
      <c r="M17" s="357"/>
      <c r="N17" s="15"/>
      <c r="O17" s="357"/>
      <c r="P17" s="15"/>
      <c r="Q17" s="357"/>
    </row>
    <row r="18" spans="1:31" ht="17.100000000000001" customHeight="1" thickBot="1" x14ac:dyDescent="0.3">
      <c r="A18" s="361"/>
      <c r="B18" s="21"/>
      <c r="C18" s="22"/>
      <c r="D18" s="9"/>
      <c r="E18" s="358"/>
      <c r="F18" s="9"/>
      <c r="G18" s="358"/>
      <c r="H18" s="9"/>
      <c r="I18" s="358"/>
      <c r="J18" s="9"/>
      <c r="K18" s="358"/>
      <c r="L18" s="9"/>
      <c r="M18" s="358"/>
      <c r="N18" s="9"/>
      <c r="O18" s="358"/>
      <c r="P18" s="9"/>
      <c r="Q18" s="358"/>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4">
        <f>VLOOKUP(B2,Schlüssel!$A$5:$K$10,3)</f>
        <v>2</v>
      </c>
      <c r="E22" s="354"/>
      <c r="F22" s="354">
        <f>VLOOKUP(B2,Schlüssel!$A$5:$K$10,4)</f>
        <v>2</v>
      </c>
      <c r="G22" s="354"/>
      <c r="H22" s="354">
        <f>VLOOKUP(B2,Schlüssel!$A$5:$K$10,5)</f>
        <v>2</v>
      </c>
      <c r="I22" s="354"/>
      <c r="J22" s="354">
        <f>VLOOKUP(B2,Schlüssel!$A$5:$K$10,6)</f>
        <v>2</v>
      </c>
      <c r="K22" s="354"/>
      <c r="L22" s="354">
        <f>VLOOKUP(B2,Schlüssel!$A$5:$K$10,7)</f>
        <v>2</v>
      </c>
      <c r="M22" s="354"/>
      <c r="N22" s="354">
        <f>VLOOKUP(B2,Schlüssel!$A$5:$K$10,8)</f>
        <v>2</v>
      </c>
      <c r="O22" s="354"/>
      <c r="P22" s="355"/>
      <c r="Q22" s="355"/>
    </row>
    <row r="23" spans="1:31" ht="28.5" customHeight="1" x14ac:dyDescent="0.25">
      <c r="B23" s="4"/>
      <c r="C23" s="1"/>
      <c r="D23" s="351" t="str">
        <f>VLOOKUP(D22,Schlüssel!$A$5:$K$10,2)</f>
        <v>BC Phönix Lauf</v>
      </c>
      <c r="E23" s="352"/>
      <c r="F23" s="351" t="str">
        <f>VLOOKUP(F22,Schlüssel!$A$5:$K$10,2)</f>
        <v>BC Phönix Lauf</v>
      </c>
      <c r="G23" s="352"/>
      <c r="H23" s="351" t="str">
        <f>VLOOKUP(H22,Schlüssel!$A$5:$K$10,2)</f>
        <v>BC Phönix Lauf</v>
      </c>
      <c r="I23" s="352"/>
      <c r="J23" s="351" t="str">
        <f>VLOOKUP(J22,Schlüssel!$A$5:$K$10,2)</f>
        <v>BC Phönix Lauf</v>
      </c>
      <c r="K23" s="352"/>
      <c r="L23" s="351" t="str">
        <f>VLOOKUP(L22,Schlüssel!$A$5:$K$10,2)</f>
        <v>BC Phönix Lauf</v>
      </c>
      <c r="M23" s="352"/>
      <c r="N23" s="351" t="str">
        <f>VLOOKUP(N22,Schlüssel!$A$5:$K$10,2)</f>
        <v>BC Phönix Lauf</v>
      </c>
      <c r="O23" s="352"/>
      <c r="P23" s="353"/>
      <c r="Q23" s="353"/>
    </row>
    <row r="24" spans="1:31" ht="12" customHeight="1" x14ac:dyDescent="0.25">
      <c r="B24" s="4"/>
      <c r="C24" s="1"/>
      <c r="D24" s="350"/>
      <c r="E24" s="350"/>
      <c r="F24" s="350"/>
      <c r="G24" s="350"/>
      <c r="H24" s="350"/>
      <c r="I24" s="350"/>
      <c r="J24" s="350"/>
      <c r="K24" s="350"/>
      <c r="L24" s="350"/>
      <c r="M24" s="350"/>
      <c r="N24" s="350"/>
      <c r="O24" s="350"/>
      <c r="P24" s="307"/>
      <c r="Q24" s="307"/>
    </row>
    <row r="25" spans="1:31" ht="15.9" customHeight="1" x14ac:dyDescent="0.25">
      <c r="B25" s="35" t="s">
        <v>0</v>
      </c>
      <c r="C25" s="36"/>
      <c r="D25" s="348"/>
      <c r="E25" s="348"/>
      <c r="F25" s="348"/>
      <c r="G25" s="348"/>
      <c r="H25" s="348"/>
      <c r="I25" s="348"/>
      <c r="J25" s="348"/>
      <c r="K25" s="348"/>
      <c r="L25" s="348"/>
      <c r="M25" s="348"/>
      <c r="N25" s="348"/>
      <c r="O25" s="348"/>
      <c r="P25" s="349"/>
      <c r="Q25" s="349"/>
    </row>
    <row r="26" spans="1:31" ht="15.9" customHeight="1" x14ac:dyDescent="0.25">
      <c r="B26" s="35" t="s">
        <v>2</v>
      </c>
      <c r="C26" s="36"/>
      <c r="D26" s="348"/>
      <c r="E26" s="348"/>
      <c r="F26" s="348"/>
      <c r="G26" s="348"/>
      <c r="H26" s="348"/>
      <c r="I26" s="348"/>
      <c r="J26" s="348"/>
      <c r="K26" s="348"/>
      <c r="L26" s="348"/>
      <c r="M26" s="348"/>
      <c r="N26" s="348"/>
      <c r="O26" s="348"/>
      <c r="P26" s="349"/>
      <c r="Q26" s="349"/>
    </row>
    <row r="27" spans="1:31" ht="15.9" customHeight="1" x14ac:dyDescent="0.25">
      <c r="B27" s="35" t="s">
        <v>3</v>
      </c>
      <c r="C27" s="36"/>
      <c r="D27" s="348"/>
      <c r="E27" s="348"/>
      <c r="F27" s="348"/>
      <c r="G27" s="348"/>
      <c r="H27" s="348"/>
      <c r="I27" s="348"/>
      <c r="J27" s="348"/>
      <c r="K27" s="348"/>
      <c r="L27" s="348"/>
      <c r="M27" s="348"/>
      <c r="N27" s="348"/>
      <c r="O27" s="348"/>
      <c r="P27" s="349"/>
      <c r="Q27" s="349"/>
    </row>
    <row r="28" spans="1:31" ht="15.9" customHeight="1" x14ac:dyDescent="0.25">
      <c r="B28" s="35" t="s">
        <v>11</v>
      </c>
      <c r="C28" s="36"/>
      <c r="D28" s="348"/>
      <c r="E28" s="348"/>
      <c r="F28" s="348"/>
      <c r="G28" s="348"/>
      <c r="H28" s="348"/>
      <c r="I28" s="348"/>
      <c r="J28" s="348"/>
      <c r="K28" s="348"/>
      <c r="L28" s="348"/>
      <c r="M28" s="348"/>
      <c r="N28" s="348"/>
      <c r="O28" s="348"/>
      <c r="P28" s="349"/>
      <c r="Q28" s="349"/>
    </row>
    <row r="29" spans="1:31" ht="15.9" customHeight="1" x14ac:dyDescent="0.25">
      <c r="B29" s="37" t="s">
        <v>1788</v>
      </c>
      <c r="C29" s="38"/>
      <c r="D29" s="347"/>
      <c r="E29" s="347"/>
      <c r="F29" s="347"/>
      <c r="G29" s="347"/>
      <c r="H29" s="347"/>
      <c r="I29" s="347"/>
      <c r="J29" s="347"/>
      <c r="K29" s="347"/>
      <c r="L29" s="347"/>
      <c r="M29" s="347"/>
      <c r="N29" s="347"/>
      <c r="O29" s="347"/>
      <c r="P29" s="312"/>
      <c r="Q29" s="312"/>
    </row>
    <row r="30" spans="1:31" ht="21" customHeight="1" x14ac:dyDescent="0.4">
      <c r="B30" s="7" t="s">
        <v>1798</v>
      </c>
      <c r="C30" s="30" t="s">
        <v>1782</v>
      </c>
      <c r="D30" s="76" t="str">
        <f>Schlüssel!$C$1</f>
        <v>Landesliga Nord Frauen</v>
      </c>
      <c r="F30" s="25"/>
      <c r="G30" s="25"/>
      <c r="H30" s="25"/>
      <c r="I30" s="25"/>
      <c r="K30" s="29"/>
      <c r="L30" s="362" t="str">
        <f>Schlüssel!$M$1</f>
        <v>29.09.</v>
      </c>
      <c r="M30" s="362"/>
      <c r="N30" s="362"/>
      <c r="O30" s="362"/>
      <c r="P30" s="362"/>
      <c r="AE30" s="90"/>
    </row>
    <row r="31" spans="1:31" ht="17.25" customHeight="1" thickBot="1" x14ac:dyDescent="0.35">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5">
      <c r="B34" s="40" t="s">
        <v>1</v>
      </c>
      <c r="C34" s="41"/>
      <c r="D34" s="363" t="s">
        <v>1789</v>
      </c>
      <c r="E34" s="364"/>
      <c r="F34" s="363" t="s">
        <v>1790</v>
      </c>
      <c r="G34" s="364"/>
      <c r="H34" s="363" t="s">
        <v>1791</v>
      </c>
      <c r="I34" s="364"/>
      <c r="J34" s="363" t="s">
        <v>1792</v>
      </c>
      <c r="K34" s="364"/>
      <c r="L34" s="363" t="s">
        <v>1793</v>
      </c>
      <c r="M34" s="364"/>
      <c r="N34" s="363" t="s">
        <v>2088</v>
      </c>
      <c r="O34" s="364"/>
      <c r="P34" s="365" t="s">
        <v>1788</v>
      </c>
      <c r="Q34" s="36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9" t="s">
        <v>0</v>
      </c>
      <c r="B36" s="17"/>
      <c r="C36" s="18"/>
      <c r="D36" s="14"/>
      <c r="E36" s="356"/>
      <c r="F36" s="14"/>
      <c r="G36" s="356"/>
      <c r="H36" s="14"/>
      <c r="I36" s="356"/>
      <c r="J36" s="14"/>
      <c r="K36" s="356"/>
      <c r="L36" s="14"/>
      <c r="M36" s="356"/>
      <c r="N36" s="14"/>
      <c r="O36" s="356"/>
      <c r="P36" s="14"/>
      <c r="Q36" s="356"/>
    </row>
    <row r="37" spans="1:17" ht="17.100000000000001" customHeight="1" x14ac:dyDescent="0.25">
      <c r="A37" s="360"/>
      <c r="B37" s="19"/>
      <c r="C37" s="20"/>
      <c r="D37" s="15"/>
      <c r="E37" s="357"/>
      <c r="F37" s="15"/>
      <c r="G37" s="357"/>
      <c r="H37" s="15"/>
      <c r="I37" s="357"/>
      <c r="J37" s="15"/>
      <c r="K37" s="357"/>
      <c r="L37" s="15"/>
      <c r="M37" s="357"/>
      <c r="N37" s="15"/>
      <c r="O37" s="357"/>
      <c r="P37" s="15"/>
      <c r="Q37" s="357"/>
    </row>
    <row r="38" spans="1:17" ht="17.100000000000001" customHeight="1" thickBot="1" x14ac:dyDescent="0.3">
      <c r="A38" s="361"/>
      <c r="B38" s="21"/>
      <c r="C38" s="22"/>
      <c r="D38" s="9"/>
      <c r="E38" s="358"/>
      <c r="F38" s="9"/>
      <c r="G38" s="358"/>
      <c r="H38" s="9"/>
      <c r="I38" s="358"/>
      <c r="J38" s="9"/>
      <c r="K38" s="358"/>
      <c r="L38" s="9"/>
      <c r="M38" s="358"/>
      <c r="N38" s="9"/>
      <c r="O38" s="358"/>
      <c r="P38" s="9"/>
      <c r="Q38" s="358"/>
    </row>
    <row r="39" spans="1:17" ht="17.100000000000001" customHeight="1" x14ac:dyDescent="0.25">
      <c r="A39" s="359" t="s">
        <v>2</v>
      </c>
      <c r="B39" s="17"/>
      <c r="C39" s="18"/>
      <c r="D39" s="14"/>
      <c r="E39" s="356"/>
      <c r="F39" s="14"/>
      <c r="G39" s="356"/>
      <c r="H39" s="14"/>
      <c r="I39" s="356"/>
      <c r="J39" s="14"/>
      <c r="K39" s="356"/>
      <c r="L39" s="14"/>
      <c r="M39" s="356"/>
      <c r="N39" s="14"/>
      <c r="O39" s="356"/>
      <c r="P39" s="14"/>
      <c r="Q39" s="356"/>
    </row>
    <row r="40" spans="1:17" ht="17.100000000000001" customHeight="1" x14ac:dyDescent="0.25">
      <c r="A40" s="360"/>
      <c r="B40" s="19"/>
      <c r="C40" s="20"/>
      <c r="D40" s="15"/>
      <c r="E40" s="357"/>
      <c r="F40" s="15"/>
      <c r="G40" s="357"/>
      <c r="H40" s="15"/>
      <c r="I40" s="357"/>
      <c r="J40" s="15"/>
      <c r="K40" s="357"/>
      <c r="L40" s="15"/>
      <c r="M40" s="357"/>
      <c r="N40" s="15"/>
      <c r="O40" s="357"/>
      <c r="P40" s="15"/>
      <c r="Q40" s="357"/>
    </row>
    <row r="41" spans="1:17" ht="17.100000000000001" customHeight="1" thickBot="1" x14ac:dyDescent="0.3">
      <c r="A41" s="361"/>
      <c r="B41" s="21"/>
      <c r="C41" s="22"/>
      <c r="D41" s="9"/>
      <c r="E41" s="358"/>
      <c r="F41" s="9"/>
      <c r="G41" s="358"/>
      <c r="H41" s="9"/>
      <c r="I41" s="358"/>
      <c r="J41" s="9"/>
      <c r="K41" s="358"/>
      <c r="L41" s="9"/>
      <c r="M41" s="358"/>
      <c r="N41" s="9"/>
      <c r="O41" s="358"/>
      <c r="P41" s="9"/>
      <c r="Q41" s="358"/>
    </row>
    <row r="42" spans="1:17" ht="17.100000000000001" customHeight="1" x14ac:dyDescent="0.25">
      <c r="A42" s="359" t="s">
        <v>3</v>
      </c>
      <c r="B42" s="17"/>
      <c r="C42" s="18"/>
      <c r="D42" s="14"/>
      <c r="E42" s="356"/>
      <c r="F42" s="14"/>
      <c r="G42" s="356"/>
      <c r="H42" s="14"/>
      <c r="I42" s="356"/>
      <c r="J42" s="14"/>
      <c r="K42" s="356"/>
      <c r="L42" s="14"/>
      <c r="M42" s="356"/>
      <c r="N42" s="14"/>
      <c r="O42" s="356"/>
      <c r="P42" s="14"/>
      <c r="Q42" s="356"/>
    </row>
    <row r="43" spans="1:17" ht="17.100000000000001" customHeight="1" x14ac:dyDescent="0.25">
      <c r="A43" s="360"/>
      <c r="B43" s="19"/>
      <c r="C43" s="20"/>
      <c r="D43" s="15"/>
      <c r="E43" s="357"/>
      <c r="F43" s="15"/>
      <c r="G43" s="357"/>
      <c r="H43" s="15"/>
      <c r="I43" s="357"/>
      <c r="J43" s="15"/>
      <c r="K43" s="357"/>
      <c r="L43" s="15"/>
      <c r="M43" s="357"/>
      <c r="N43" s="15"/>
      <c r="O43" s="357"/>
      <c r="P43" s="15"/>
      <c r="Q43" s="357"/>
    </row>
    <row r="44" spans="1:17" ht="17.100000000000001" customHeight="1" thickBot="1" x14ac:dyDescent="0.3">
      <c r="A44" s="361"/>
      <c r="B44" s="21"/>
      <c r="C44" s="22"/>
      <c r="D44" s="9"/>
      <c r="E44" s="358"/>
      <c r="F44" s="9"/>
      <c r="G44" s="358"/>
      <c r="H44" s="9"/>
      <c r="I44" s="358"/>
      <c r="J44" s="9"/>
      <c r="K44" s="358"/>
      <c r="L44" s="9"/>
      <c r="M44" s="358"/>
      <c r="N44" s="9"/>
      <c r="O44" s="358"/>
      <c r="P44" s="9"/>
      <c r="Q44" s="358"/>
    </row>
    <row r="45" spans="1:17" ht="17.100000000000001" customHeight="1" x14ac:dyDescent="0.25">
      <c r="A45" s="359" t="s">
        <v>11</v>
      </c>
      <c r="B45" s="17"/>
      <c r="C45" s="18"/>
      <c r="D45" s="14"/>
      <c r="E45" s="356"/>
      <c r="F45" s="14"/>
      <c r="G45" s="356"/>
      <c r="H45" s="14"/>
      <c r="I45" s="356"/>
      <c r="J45" s="14"/>
      <c r="K45" s="356"/>
      <c r="L45" s="14"/>
      <c r="M45" s="356"/>
      <c r="N45" s="14"/>
      <c r="O45" s="356"/>
      <c r="P45" s="14"/>
      <c r="Q45" s="356"/>
    </row>
    <row r="46" spans="1:17" ht="17.100000000000001" customHeight="1" x14ac:dyDescent="0.25">
      <c r="A46" s="360"/>
      <c r="B46" s="19"/>
      <c r="C46" s="20"/>
      <c r="D46" s="15"/>
      <c r="E46" s="357"/>
      <c r="F46" s="15"/>
      <c r="G46" s="357"/>
      <c r="H46" s="15"/>
      <c r="I46" s="357"/>
      <c r="J46" s="15"/>
      <c r="K46" s="357"/>
      <c r="L46" s="15"/>
      <c r="M46" s="357"/>
      <c r="N46" s="15"/>
      <c r="O46" s="357"/>
      <c r="P46" s="15"/>
      <c r="Q46" s="357"/>
    </row>
    <row r="47" spans="1:17" ht="17.100000000000001" customHeight="1" thickBot="1" x14ac:dyDescent="0.3">
      <c r="A47" s="361"/>
      <c r="B47" s="21"/>
      <c r="C47" s="22"/>
      <c r="D47" s="9"/>
      <c r="E47" s="358"/>
      <c r="F47" s="9"/>
      <c r="G47" s="358"/>
      <c r="H47" s="9"/>
      <c r="I47" s="358"/>
      <c r="J47" s="9"/>
      <c r="K47" s="358"/>
      <c r="L47" s="9"/>
      <c r="M47" s="358"/>
      <c r="N47" s="9"/>
      <c r="O47" s="358"/>
      <c r="P47" s="9"/>
      <c r="Q47" s="358"/>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4">
        <f>VLOOKUP(B31,Schlüssel!$A$5:$K$10,3)</f>
        <v>1</v>
      </c>
      <c r="E51" s="354"/>
      <c r="F51" s="354">
        <f>VLOOKUP(B31,Schlüssel!$A$5:$K$10,4)</f>
        <v>1</v>
      </c>
      <c r="G51" s="354"/>
      <c r="H51" s="354">
        <f>VLOOKUP(B31,Schlüssel!$A$5:$K$10,5)</f>
        <v>1</v>
      </c>
      <c r="I51" s="354"/>
      <c r="J51" s="354">
        <f>VLOOKUP(B31,Schlüssel!$A$5:$K$10,6)</f>
        <v>1</v>
      </c>
      <c r="K51" s="354"/>
      <c r="L51" s="354">
        <f>VLOOKUP(B31,Schlüssel!$A$5:$K$10,7)</f>
        <v>1</v>
      </c>
      <c r="M51" s="354"/>
      <c r="N51" s="354">
        <f>VLOOKUP(B31,Schlüssel!$A$5:$K$10,8)</f>
        <v>1</v>
      </c>
      <c r="O51" s="354"/>
      <c r="P51" s="355"/>
      <c r="Q51" s="355"/>
    </row>
    <row r="52" spans="1:31" ht="28.5" customHeight="1" x14ac:dyDescent="0.25">
      <c r="B52" s="4"/>
      <c r="C52" s="1"/>
      <c r="D52" s="351" t="str">
        <f>VLOOKUP(D51,Schlüssel!$A$5:$K$10,2)</f>
        <v>Kleeblatt Fürth</v>
      </c>
      <c r="E52" s="352"/>
      <c r="F52" s="351" t="str">
        <f>VLOOKUP(F51,Schlüssel!$A$5:$K$10,2)</f>
        <v>Kleeblatt Fürth</v>
      </c>
      <c r="G52" s="352"/>
      <c r="H52" s="351" t="str">
        <f>VLOOKUP(H51,Schlüssel!$A$5:$K$10,2)</f>
        <v>Kleeblatt Fürth</v>
      </c>
      <c r="I52" s="352"/>
      <c r="J52" s="351" t="str">
        <f>VLOOKUP(J51,Schlüssel!$A$5:$K$10,2)</f>
        <v>Kleeblatt Fürth</v>
      </c>
      <c r="K52" s="352"/>
      <c r="L52" s="351" t="str">
        <f>VLOOKUP(L51,Schlüssel!$A$5:$K$10,2)</f>
        <v>Kleeblatt Fürth</v>
      </c>
      <c r="M52" s="352"/>
      <c r="N52" s="351" t="str">
        <f>VLOOKUP(N51,Schlüssel!$A$5:$K$10,2)</f>
        <v>Kleeblatt Fürth</v>
      </c>
      <c r="O52" s="352"/>
      <c r="P52" s="353"/>
      <c r="Q52" s="353"/>
    </row>
    <row r="53" spans="1:31" ht="12" customHeight="1" x14ac:dyDescent="0.25">
      <c r="B53" s="4"/>
      <c r="C53" s="1"/>
      <c r="D53" s="350"/>
      <c r="E53" s="350"/>
      <c r="F53" s="350"/>
      <c r="G53" s="350"/>
      <c r="H53" s="350"/>
      <c r="I53" s="350"/>
      <c r="J53" s="350"/>
      <c r="K53" s="350"/>
      <c r="L53" s="350"/>
      <c r="M53" s="350"/>
      <c r="N53" s="350"/>
      <c r="O53" s="350"/>
      <c r="P53" s="307"/>
      <c r="Q53" s="307"/>
    </row>
    <row r="54" spans="1:31" ht="15.9" customHeight="1" x14ac:dyDescent="0.25">
      <c r="B54" s="35" t="s">
        <v>0</v>
      </c>
      <c r="C54" s="36"/>
      <c r="D54" s="348"/>
      <c r="E54" s="348"/>
      <c r="F54" s="348"/>
      <c r="G54" s="348"/>
      <c r="H54" s="348"/>
      <c r="I54" s="348"/>
      <c r="J54" s="348"/>
      <c r="K54" s="348"/>
      <c r="L54" s="348"/>
      <c r="M54" s="348"/>
      <c r="N54" s="348"/>
      <c r="O54" s="348"/>
      <c r="P54" s="349"/>
      <c r="Q54" s="349"/>
    </row>
    <row r="55" spans="1:31" ht="15.9" customHeight="1" x14ac:dyDescent="0.25">
      <c r="B55" s="35" t="s">
        <v>2</v>
      </c>
      <c r="C55" s="36"/>
      <c r="D55" s="348"/>
      <c r="E55" s="348"/>
      <c r="F55" s="348"/>
      <c r="G55" s="348"/>
      <c r="H55" s="348"/>
      <c r="I55" s="348"/>
      <c r="J55" s="348"/>
      <c r="K55" s="348"/>
      <c r="L55" s="348"/>
      <c r="M55" s="348"/>
      <c r="N55" s="348"/>
      <c r="O55" s="348"/>
      <c r="P55" s="349"/>
      <c r="Q55" s="349"/>
    </row>
    <row r="56" spans="1:31" ht="15.9" customHeight="1" x14ac:dyDescent="0.25">
      <c r="B56" s="35" t="s">
        <v>3</v>
      </c>
      <c r="C56" s="36"/>
      <c r="D56" s="348"/>
      <c r="E56" s="348"/>
      <c r="F56" s="348"/>
      <c r="G56" s="348"/>
      <c r="H56" s="348"/>
      <c r="I56" s="348"/>
      <c r="J56" s="348"/>
      <c r="K56" s="348"/>
      <c r="L56" s="348"/>
      <c r="M56" s="348"/>
      <c r="N56" s="348"/>
      <c r="O56" s="348"/>
      <c r="P56" s="349"/>
      <c r="Q56" s="349"/>
    </row>
    <row r="57" spans="1:31" ht="15.9" customHeight="1" x14ac:dyDescent="0.25">
      <c r="B57" s="35" t="s">
        <v>11</v>
      </c>
      <c r="C57" s="36"/>
      <c r="D57" s="348"/>
      <c r="E57" s="348"/>
      <c r="F57" s="348"/>
      <c r="G57" s="348"/>
      <c r="H57" s="348"/>
      <c r="I57" s="348"/>
      <c r="J57" s="348"/>
      <c r="K57" s="348"/>
      <c r="L57" s="348"/>
      <c r="M57" s="348"/>
      <c r="N57" s="348"/>
      <c r="O57" s="348"/>
      <c r="P57" s="349"/>
      <c r="Q57" s="349"/>
    </row>
    <row r="58" spans="1:31" ht="15.9" customHeight="1" x14ac:dyDescent="0.25">
      <c r="B58" s="37" t="s">
        <v>1788</v>
      </c>
      <c r="C58" s="38"/>
      <c r="D58" s="347"/>
      <c r="E58" s="347"/>
      <c r="F58" s="347"/>
      <c r="G58" s="347"/>
      <c r="H58" s="347"/>
      <c r="I58" s="347"/>
      <c r="J58" s="347"/>
      <c r="K58" s="347"/>
      <c r="L58" s="347"/>
      <c r="M58" s="347"/>
      <c r="N58" s="347"/>
      <c r="O58" s="347"/>
      <c r="P58" s="312"/>
      <c r="Q58" s="312"/>
    </row>
    <row r="59" spans="1:31" ht="21" customHeight="1" x14ac:dyDescent="0.4">
      <c r="B59" s="7" t="s">
        <v>1798</v>
      </c>
      <c r="C59" s="30" t="s">
        <v>1782</v>
      </c>
      <c r="D59" s="76" t="str">
        <f>Schlüssel!$C$1</f>
        <v>Landesliga Nord Frauen</v>
      </c>
      <c r="F59" s="25"/>
      <c r="G59" s="25"/>
      <c r="H59" s="25"/>
      <c r="I59" s="25"/>
      <c r="K59" s="29"/>
      <c r="L59" s="362" t="str">
        <f>Schlüssel!$M$1</f>
        <v>29.09.</v>
      </c>
      <c r="M59" s="362"/>
      <c r="N59" s="362"/>
      <c r="O59" s="362"/>
      <c r="P59" s="362"/>
      <c r="AE59" s="90"/>
    </row>
    <row r="60" spans="1:31" ht="17.25" customHeight="1" thickBot="1" x14ac:dyDescent="0.35">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5">
      <c r="B63" s="40" t="s">
        <v>1</v>
      </c>
      <c r="C63" s="41"/>
      <c r="D63" s="363" t="s">
        <v>1789</v>
      </c>
      <c r="E63" s="364"/>
      <c r="F63" s="363" t="s">
        <v>1790</v>
      </c>
      <c r="G63" s="364"/>
      <c r="H63" s="363" t="s">
        <v>1791</v>
      </c>
      <c r="I63" s="364"/>
      <c r="J63" s="363" t="s">
        <v>1792</v>
      </c>
      <c r="K63" s="364"/>
      <c r="L63" s="363" t="s">
        <v>1793</v>
      </c>
      <c r="M63" s="364"/>
      <c r="N63" s="363" t="s">
        <v>2088</v>
      </c>
      <c r="O63" s="364"/>
      <c r="P63" s="365" t="s">
        <v>1788</v>
      </c>
      <c r="Q63" s="36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9" t="s">
        <v>0</v>
      </c>
      <c r="B65" s="17"/>
      <c r="C65" s="18"/>
      <c r="D65" s="14"/>
      <c r="E65" s="356"/>
      <c r="F65" s="14"/>
      <c r="G65" s="356"/>
      <c r="H65" s="14"/>
      <c r="I65" s="356"/>
      <c r="J65" s="14"/>
      <c r="K65" s="356"/>
      <c r="L65" s="14"/>
      <c r="M65" s="356"/>
      <c r="N65" s="14"/>
      <c r="O65" s="356"/>
      <c r="P65" s="14"/>
      <c r="Q65" s="356"/>
    </row>
    <row r="66" spans="1:17" ht="17.100000000000001" customHeight="1" x14ac:dyDescent="0.25">
      <c r="A66" s="360"/>
      <c r="B66" s="19"/>
      <c r="C66" s="20"/>
      <c r="D66" s="15"/>
      <c r="E66" s="357"/>
      <c r="F66" s="15"/>
      <c r="G66" s="357"/>
      <c r="H66" s="15"/>
      <c r="I66" s="357"/>
      <c r="J66" s="15"/>
      <c r="K66" s="357"/>
      <c r="L66" s="15"/>
      <c r="M66" s="357"/>
      <c r="N66" s="15"/>
      <c r="O66" s="357"/>
      <c r="P66" s="15"/>
      <c r="Q66" s="357"/>
    </row>
    <row r="67" spans="1:17" ht="17.100000000000001" customHeight="1" thickBot="1" x14ac:dyDescent="0.3">
      <c r="A67" s="361"/>
      <c r="B67" s="21"/>
      <c r="C67" s="22"/>
      <c r="D67" s="9"/>
      <c r="E67" s="358"/>
      <c r="F67" s="9"/>
      <c r="G67" s="358"/>
      <c r="H67" s="9"/>
      <c r="I67" s="358"/>
      <c r="J67" s="9"/>
      <c r="K67" s="358"/>
      <c r="L67" s="9"/>
      <c r="M67" s="358"/>
      <c r="N67" s="9"/>
      <c r="O67" s="358"/>
      <c r="P67" s="9"/>
      <c r="Q67" s="358"/>
    </row>
    <row r="68" spans="1:17" ht="17.100000000000001" customHeight="1" x14ac:dyDescent="0.25">
      <c r="A68" s="359" t="s">
        <v>2</v>
      </c>
      <c r="B68" s="17"/>
      <c r="C68" s="18"/>
      <c r="D68" s="14"/>
      <c r="E68" s="356"/>
      <c r="F68" s="14"/>
      <c r="G68" s="356"/>
      <c r="H68" s="14"/>
      <c r="I68" s="356"/>
      <c r="J68" s="14"/>
      <c r="K68" s="356"/>
      <c r="L68" s="14"/>
      <c r="M68" s="356"/>
      <c r="N68" s="14"/>
      <c r="O68" s="356"/>
      <c r="P68" s="14"/>
      <c r="Q68" s="356"/>
    </row>
    <row r="69" spans="1:17" ht="17.100000000000001" customHeight="1" x14ac:dyDescent="0.25">
      <c r="A69" s="360"/>
      <c r="B69" s="19"/>
      <c r="C69" s="20"/>
      <c r="D69" s="15"/>
      <c r="E69" s="357"/>
      <c r="F69" s="15"/>
      <c r="G69" s="357"/>
      <c r="H69" s="15"/>
      <c r="I69" s="357"/>
      <c r="J69" s="15"/>
      <c r="K69" s="357"/>
      <c r="L69" s="15"/>
      <c r="M69" s="357"/>
      <c r="N69" s="15"/>
      <c r="O69" s="357"/>
      <c r="P69" s="15"/>
      <c r="Q69" s="357"/>
    </row>
    <row r="70" spans="1:17" ht="17.100000000000001" customHeight="1" thickBot="1" x14ac:dyDescent="0.3">
      <c r="A70" s="361"/>
      <c r="B70" s="21"/>
      <c r="C70" s="22"/>
      <c r="D70" s="9"/>
      <c r="E70" s="358"/>
      <c r="F70" s="9"/>
      <c r="G70" s="358"/>
      <c r="H70" s="9"/>
      <c r="I70" s="358"/>
      <c r="J70" s="9"/>
      <c r="K70" s="358"/>
      <c r="L70" s="9"/>
      <c r="M70" s="358"/>
      <c r="N70" s="9"/>
      <c r="O70" s="358"/>
      <c r="P70" s="9"/>
      <c r="Q70" s="358"/>
    </row>
    <row r="71" spans="1:17" ht="17.100000000000001" customHeight="1" x14ac:dyDescent="0.25">
      <c r="A71" s="359" t="s">
        <v>3</v>
      </c>
      <c r="B71" s="17"/>
      <c r="C71" s="18"/>
      <c r="D71" s="14"/>
      <c r="E71" s="356"/>
      <c r="F71" s="14"/>
      <c r="G71" s="356"/>
      <c r="H71" s="14"/>
      <c r="I71" s="356"/>
      <c r="J71" s="14"/>
      <c r="K71" s="356"/>
      <c r="L71" s="14"/>
      <c r="M71" s="356"/>
      <c r="N71" s="14"/>
      <c r="O71" s="356"/>
      <c r="P71" s="14"/>
      <c r="Q71" s="356"/>
    </row>
    <row r="72" spans="1:17" ht="17.100000000000001" customHeight="1" x14ac:dyDescent="0.25">
      <c r="A72" s="360"/>
      <c r="B72" s="19"/>
      <c r="C72" s="20"/>
      <c r="D72" s="15"/>
      <c r="E72" s="357"/>
      <c r="F72" s="15"/>
      <c r="G72" s="357"/>
      <c r="H72" s="15"/>
      <c r="I72" s="357"/>
      <c r="J72" s="15"/>
      <c r="K72" s="357"/>
      <c r="L72" s="15"/>
      <c r="M72" s="357"/>
      <c r="N72" s="15"/>
      <c r="O72" s="357"/>
      <c r="P72" s="15"/>
      <c r="Q72" s="357"/>
    </row>
    <row r="73" spans="1:17" ht="17.100000000000001" customHeight="1" thickBot="1" x14ac:dyDescent="0.3">
      <c r="A73" s="361"/>
      <c r="B73" s="21"/>
      <c r="C73" s="22"/>
      <c r="D73" s="9"/>
      <c r="E73" s="358"/>
      <c r="F73" s="9"/>
      <c r="G73" s="358"/>
      <c r="H73" s="9"/>
      <c r="I73" s="358"/>
      <c r="J73" s="9"/>
      <c r="K73" s="358"/>
      <c r="L73" s="9"/>
      <c r="M73" s="358"/>
      <c r="N73" s="9"/>
      <c r="O73" s="358"/>
      <c r="P73" s="9"/>
      <c r="Q73" s="358"/>
    </row>
    <row r="74" spans="1:17" ht="17.100000000000001" customHeight="1" x14ac:dyDescent="0.25">
      <c r="A74" s="359" t="s">
        <v>11</v>
      </c>
      <c r="B74" s="17"/>
      <c r="C74" s="18"/>
      <c r="D74" s="14"/>
      <c r="E74" s="356"/>
      <c r="F74" s="14"/>
      <c r="G74" s="356"/>
      <c r="H74" s="14"/>
      <c r="I74" s="356"/>
      <c r="J74" s="14"/>
      <c r="K74" s="356"/>
      <c r="L74" s="14"/>
      <c r="M74" s="356"/>
      <c r="N74" s="14"/>
      <c r="O74" s="356"/>
      <c r="P74" s="14"/>
      <c r="Q74" s="356"/>
    </row>
    <row r="75" spans="1:17" ht="17.100000000000001" customHeight="1" x14ac:dyDescent="0.25">
      <c r="A75" s="360"/>
      <c r="B75" s="19"/>
      <c r="C75" s="20"/>
      <c r="D75" s="15"/>
      <c r="E75" s="357"/>
      <c r="F75" s="15"/>
      <c r="G75" s="357"/>
      <c r="H75" s="15"/>
      <c r="I75" s="357"/>
      <c r="J75" s="15"/>
      <c r="K75" s="357"/>
      <c r="L75" s="15"/>
      <c r="M75" s="357"/>
      <c r="N75" s="15"/>
      <c r="O75" s="357"/>
      <c r="P75" s="15"/>
      <c r="Q75" s="357"/>
    </row>
    <row r="76" spans="1:17" ht="17.100000000000001" customHeight="1" thickBot="1" x14ac:dyDescent="0.3">
      <c r="A76" s="361"/>
      <c r="B76" s="21"/>
      <c r="C76" s="22"/>
      <c r="D76" s="9"/>
      <c r="E76" s="358"/>
      <c r="F76" s="9"/>
      <c r="G76" s="358"/>
      <c r="H76" s="9"/>
      <c r="I76" s="358"/>
      <c r="J76" s="9"/>
      <c r="K76" s="358"/>
      <c r="L76" s="9"/>
      <c r="M76" s="358"/>
      <c r="N76" s="9"/>
      <c r="O76" s="358"/>
      <c r="P76" s="9"/>
      <c r="Q76" s="358"/>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4">
        <f>VLOOKUP(B60,Schlüssel!$A$5:$K$10,3)</f>
        <v>0</v>
      </c>
      <c r="E80" s="354"/>
      <c r="F80" s="354">
        <f>VLOOKUP(B60,Schlüssel!$A$5:$K$10,4)</f>
        <v>0</v>
      </c>
      <c r="G80" s="354"/>
      <c r="H80" s="354">
        <f>VLOOKUP(B60,Schlüssel!$A$5:$K$10,5)</f>
        <v>0</v>
      </c>
      <c r="I80" s="354"/>
      <c r="J80" s="354">
        <f>VLOOKUP(B60,Schlüssel!$A$5:$K$10,6)</f>
        <v>0</v>
      </c>
      <c r="K80" s="354"/>
      <c r="L80" s="354">
        <f>VLOOKUP(B60,Schlüssel!$A$5:$K$10,7)</f>
        <v>0</v>
      </c>
      <c r="M80" s="354"/>
      <c r="N80" s="354">
        <f>VLOOKUP(B60,Schlüssel!$A$5:$K$10,8)</f>
        <v>0</v>
      </c>
      <c r="O80" s="354"/>
      <c r="P80" s="355"/>
      <c r="Q80" s="355"/>
    </row>
    <row r="81" spans="2:17" ht="28.5" customHeight="1" x14ac:dyDescent="0.25">
      <c r="B81" s="4"/>
      <c r="C81" s="1"/>
      <c r="D81" s="351" t="e">
        <f>VLOOKUP(D80,Schlüssel!$A$5:$K$10,2)</f>
        <v>#N/A</v>
      </c>
      <c r="E81" s="352"/>
      <c r="F81" s="351" t="e">
        <f>VLOOKUP(F80,Schlüssel!$A$5:$K$10,2)</f>
        <v>#N/A</v>
      </c>
      <c r="G81" s="352"/>
      <c r="H81" s="351" t="e">
        <f>VLOOKUP(H80,Schlüssel!$A$5:$K$10,2)</f>
        <v>#N/A</v>
      </c>
      <c r="I81" s="352"/>
      <c r="J81" s="351" t="e">
        <f>VLOOKUP(J80,Schlüssel!$A$5:$K$10,2)</f>
        <v>#N/A</v>
      </c>
      <c r="K81" s="352"/>
      <c r="L81" s="351" t="e">
        <f>VLOOKUP(L80,Schlüssel!$A$5:$K$10,2)</f>
        <v>#N/A</v>
      </c>
      <c r="M81" s="352"/>
      <c r="N81" s="351" t="e">
        <f>VLOOKUP(N80,Schlüssel!$A$5:$K$10,2)</f>
        <v>#N/A</v>
      </c>
      <c r="O81" s="352"/>
      <c r="P81" s="353"/>
      <c r="Q81" s="353"/>
    </row>
    <row r="82" spans="2:17" ht="12" customHeight="1" x14ac:dyDescent="0.25">
      <c r="B82" s="4"/>
      <c r="C82" s="1"/>
      <c r="D82" s="350"/>
      <c r="E82" s="350"/>
      <c r="F82" s="350"/>
      <c r="G82" s="350"/>
      <c r="H82" s="350"/>
      <c r="I82" s="350"/>
      <c r="J82" s="350"/>
      <c r="K82" s="350"/>
      <c r="L82" s="350"/>
      <c r="M82" s="350"/>
      <c r="N82" s="350"/>
      <c r="O82" s="350"/>
      <c r="P82" s="307"/>
      <c r="Q82" s="307"/>
    </row>
    <row r="83" spans="2:17" ht="15.9" customHeight="1" x14ac:dyDescent="0.25">
      <c r="B83" s="35" t="s">
        <v>0</v>
      </c>
      <c r="C83" s="36"/>
      <c r="D83" s="348"/>
      <c r="E83" s="348"/>
      <c r="F83" s="348"/>
      <c r="G83" s="348"/>
      <c r="H83" s="348"/>
      <c r="I83" s="348"/>
      <c r="J83" s="348"/>
      <c r="K83" s="348"/>
      <c r="L83" s="348"/>
      <c r="M83" s="348"/>
      <c r="N83" s="348"/>
      <c r="O83" s="348"/>
      <c r="P83" s="349"/>
      <c r="Q83" s="349"/>
    </row>
    <row r="84" spans="2:17" ht="15.9" customHeight="1" x14ac:dyDescent="0.25">
      <c r="B84" s="35" t="s">
        <v>2</v>
      </c>
      <c r="C84" s="36"/>
      <c r="D84" s="348"/>
      <c r="E84" s="348"/>
      <c r="F84" s="348"/>
      <c r="G84" s="348"/>
      <c r="H84" s="348"/>
      <c r="I84" s="348"/>
      <c r="J84" s="348"/>
      <c r="K84" s="348"/>
      <c r="L84" s="348"/>
      <c r="M84" s="348"/>
      <c r="N84" s="348"/>
      <c r="O84" s="348"/>
      <c r="P84" s="349"/>
      <c r="Q84" s="349"/>
    </row>
    <row r="85" spans="2:17" ht="15.9" customHeight="1" x14ac:dyDescent="0.25">
      <c r="B85" s="35" t="s">
        <v>3</v>
      </c>
      <c r="C85" s="36"/>
      <c r="D85" s="348"/>
      <c r="E85" s="348"/>
      <c r="F85" s="348"/>
      <c r="G85" s="348"/>
      <c r="H85" s="348"/>
      <c r="I85" s="348"/>
      <c r="J85" s="348"/>
      <c r="K85" s="348"/>
      <c r="L85" s="348"/>
      <c r="M85" s="348"/>
      <c r="N85" s="348"/>
      <c r="O85" s="348"/>
      <c r="P85" s="349"/>
      <c r="Q85" s="349"/>
    </row>
    <row r="86" spans="2:17" ht="15.9" customHeight="1" x14ac:dyDescent="0.25">
      <c r="B86" s="35" t="s">
        <v>11</v>
      </c>
      <c r="C86" s="36"/>
      <c r="D86" s="348"/>
      <c r="E86" s="348"/>
      <c r="F86" s="348"/>
      <c r="G86" s="348"/>
      <c r="H86" s="348"/>
      <c r="I86" s="348"/>
      <c r="J86" s="348"/>
      <c r="K86" s="348"/>
      <c r="L86" s="348"/>
      <c r="M86" s="348"/>
      <c r="N86" s="348"/>
      <c r="O86" s="348"/>
      <c r="P86" s="349"/>
      <c r="Q86" s="349"/>
    </row>
    <row r="87" spans="2:17" ht="15.9" customHeight="1" x14ac:dyDescent="0.25">
      <c r="B87" s="37" t="s">
        <v>1788</v>
      </c>
      <c r="C87" s="38"/>
      <c r="D87" s="347"/>
      <c r="E87" s="347"/>
      <c r="F87" s="347"/>
      <c r="G87" s="347"/>
      <c r="H87" s="347"/>
      <c r="I87" s="347"/>
      <c r="J87" s="347"/>
      <c r="K87" s="347"/>
      <c r="L87" s="347"/>
      <c r="M87" s="347"/>
      <c r="N87" s="347"/>
      <c r="O87" s="347"/>
      <c r="P87" s="312"/>
      <c r="Q87" s="312"/>
    </row>
  </sheetData>
  <sheetProtection password="D19C" sheet="1" formatCells="0" formatColumns="0" formatRows="0"/>
  <mergeCells count="288">
    <mergeCell ref="N26:O26"/>
    <mergeCell ref="N27:O27"/>
    <mergeCell ref="N28:O28"/>
    <mergeCell ref="N29:O29"/>
    <mergeCell ref="N34:O34"/>
    <mergeCell ref="O36:O38"/>
    <mergeCell ref="L30:P30"/>
    <mergeCell ref="L26:M26"/>
    <mergeCell ref="P26:Q26"/>
    <mergeCell ref="Q36:Q38"/>
    <mergeCell ref="P5:Q5"/>
    <mergeCell ref="A7:A9"/>
    <mergeCell ref="E7:E9"/>
    <mergeCell ref="G7:G9"/>
    <mergeCell ref="I7:I9"/>
    <mergeCell ref="K7:K9"/>
    <mergeCell ref="M7:M9"/>
    <mergeCell ref="D5:E5"/>
    <mergeCell ref="F5:G5"/>
    <mergeCell ref="H5:I5"/>
    <mergeCell ref="N5:O5"/>
    <mergeCell ref="O7:O9"/>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A16:A18"/>
    <mergeCell ref="E16:E18"/>
    <mergeCell ref="G16:G18"/>
    <mergeCell ref="I16:I18"/>
    <mergeCell ref="K16:K18"/>
    <mergeCell ref="M16:M18"/>
    <mergeCell ref="J5:K5"/>
    <mergeCell ref="L5:M5"/>
    <mergeCell ref="M13:M1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P25:Q25"/>
    <mergeCell ref="D24:E24"/>
    <mergeCell ref="F24:G24"/>
    <mergeCell ref="H24:I24"/>
    <mergeCell ref="J24:K24"/>
    <mergeCell ref="L24:M24"/>
    <mergeCell ref="P24:Q24"/>
    <mergeCell ref="N24:O24"/>
    <mergeCell ref="N25:O25"/>
    <mergeCell ref="F28:G28"/>
    <mergeCell ref="H28:I28"/>
    <mergeCell ref="J28:K28"/>
    <mergeCell ref="L28:M28"/>
    <mergeCell ref="D25:E25"/>
    <mergeCell ref="F25:G25"/>
    <mergeCell ref="H25:I25"/>
    <mergeCell ref="J25:K25"/>
    <mergeCell ref="L25:M25"/>
    <mergeCell ref="D27:E27"/>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80" t="str">
        <f>AD1</f>
        <v>29.09.</v>
      </c>
      <c r="N1" s="380"/>
      <c r="O1" s="380"/>
      <c r="P1" s="381"/>
      <c r="Q1" s="381"/>
      <c r="R1" s="381"/>
      <c r="S1" s="7" t="s">
        <v>1798</v>
      </c>
      <c r="T1" s="25"/>
      <c r="U1" s="30" t="s">
        <v>1782</v>
      </c>
      <c r="V1" s="76" t="str">
        <f>Schlüssel!$C$1</f>
        <v>Landesliga Nord Frauen</v>
      </c>
      <c r="X1" s="25"/>
      <c r="Y1" s="25"/>
      <c r="Z1" s="25"/>
      <c r="AA1" s="25"/>
      <c r="AC1" s="29"/>
      <c r="AD1" s="362" t="str">
        <f>Schlüssel!$M$1</f>
        <v>29.09.</v>
      </c>
      <c r="AE1" s="362"/>
      <c r="AF1" s="362"/>
      <c r="AG1" s="362"/>
      <c r="AH1" s="362"/>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5">
      <c r="B5" s="40" t="s">
        <v>1</v>
      </c>
      <c r="C5" s="41"/>
      <c r="D5" s="363" t="s">
        <v>1789</v>
      </c>
      <c r="E5" s="364"/>
      <c r="F5" s="363" t="s">
        <v>1790</v>
      </c>
      <c r="G5" s="364"/>
      <c r="H5" s="363" t="s">
        <v>1791</v>
      </c>
      <c r="I5" s="364"/>
      <c r="J5" s="363" t="s">
        <v>1792</v>
      </c>
      <c r="K5" s="364"/>
      <c r="L5" s="363" t="s">
        <v>1793</v>
      </c>
      <c r="M5" s="364"/>
      <c r="N5" s="365" t="s">
        <v>1788</v>
      </c>
      <c r="O5" s="366"/>
      <c r="S5" s="40" t="s">
        <v>1</v>
      </c>
      <c r="T5" s="41"/>
      <c r="U5" s="363" t="s">
        <v>1789</v>
      </c>
      <c r="V5" s="364"/>
      <c r="W5" s="363" t="s">
        <v>1790</v>
      </c>
      <c r="X5" s="364"/>
      <c r="Y5" s="363" t="s">
        <v>1791</v>
      </c>
      <c r="Z5" s="364"/>
      <c r="AA5" s="363" t="s">
        <v>1792</v>
      </c>
      <c r="AB5" s="364"/>
      <c r="AC5" s="363" t="s">
        <v>1793</v>
      </c>
      <c r="AD5" s="368"/>
      <c r="AE5" s="363" t="s">
        <v>2088</v>
      </c>
      <c r="AF5" s="368"/>
      <c r="AG5" s="367" t="s">
        <v>1788</v>
      </c>
      <c r="AH5" s="36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7" t="s">
        <v>0</v>
      </c>
      <c r="B7" s="17" t="str">
        <f>IF(S7=0,"",S7)</f>
        <v>Röde, Sigrid</v>
      </c>
      <c r="C7" s="18">
        <f>IF(T7=0,"",T7)</f>
        <v>38825</v>
      </c>
      <c r="D7" s="14">
        <f>IF(U7=0,"",U7)</f>
        <v>168</v>
      </c>
      <c r="E7" s="356">
        <f>IF(V7="","",V7)</f>
        <v>1</v>
      </c>
      <c r="F7" s="14">
        <f t="shared" ref="F7:F20" si="0">IF(W7=0,"",W7)</f>
        <v>111</v>
      </c>
      <c r="G7" s="356">
        <f>IF(X7="","",X7)</f>
        <v>0</v>
      </c>
      <c r="H7" s="14">
        <f t="shared" ref="H7:H20" si="1">IF(Y7=0,"",Y7)</f>
        <v>203</v>
      </c>
      <c r="I7" s="356">
        <f>IF(Z7="","",Z7)</f>
        <v>1</v>
      </c>
      <c r="J7" s="14">
        <f t="shared" ref="J7:J20" si="2">IF(AA7=0,"",AA7)</f>
        <v>113</v>
      </c>
      <c r="K7" s="356">
        <f>IF(AB7="","",AB7)</f>
        <v>0</v>
      </c>
      <c r="L7" s="14">
        <f t="shared" ref="L7:L20" si="3">IF(AC7=0,"",AC7)</f>
        <v>179</v>
      </c>
      <c r="M7" s="356">
        <f>IF(AD7="","",AD7)</f>
        <v>1</v>
      </c>
      <c r="N7" s="14">
        <f t="shared" ref="N7:N20" si="4">IF(AG7=0,"",AG7)</f>
        <v>957</v>
      </c>
      <c r="O7" s="356">
        <f>IF(AH7="","",AH7)</f>
        <v>4</v>
      </c>
      <c r="R7" s="359"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5">
      <c r="A8" s="378"/>
      <c r="B8" s="19" t="str">
        <f t="shared" ref="B8:D20" si="21">IF(S8=0,"",S8)</f>
        <v/>
      </c>
      <c r="C8" s="20" t="str">
        <f t="shared" si="21"/>
        <v/>
      </c>
      <c r="D8" s="15" t="str">
        <f t="shared" si="21"/>
        <v/>
      </c>
      <c r="E8" s="357"/>
      <c r="F8" s="15" t="str">
        <f t="shared" si="0"/>
        <v/>
      </c>
      <c r="G8" s="357"/>
      <c r="H8" s="15" t="str">
        <f t="shared" si="1"/>
        <v/>
      </c>
      <c r="I8" s="357"/>
      <c r="J8" s="15" t="str">
        <f t="shared" si="2"/>
        <v/>
      </c>
      <c r="K8" s="357"/>
      <c r="L8" s="15" t="str">
        <f t="shared" si="3"/>
        <v/>
      </c>
      <c r="M8" s="357"/>
      <c r="N8" s="15" t="str">
        <f t="shared" si="4"/>
        <v/>
      </c>
      <c r="O8" s="357"/>
      <c r="R8" s="360"/>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9"/>
      <c r="B9" s="21" t="str">
        <f t="shared" si="21"/>
        <v/>
      </c>
      <c r="C9" s="22" t="str">
        <f t="shared" si="21"/>
        <v/>
      </c>
      <c r="D9" s="9" t="str">
        <f t="shared" si="21"/>
        <v/>
      </c>
      <c r="E9" s="358"/>
      <c r="F9" s="9" t="str">
        <f t="shared" si="0"/>
        <v/>
      </c>
      <c r="G9" s="358"/>
      <c r="H9" s="9" t="str">
        <f t="shared" si="1"/>
        <v/>
      </c>
      <c r="I9" s="358"/>
      <c r="J9" s="9" t="str">
        <f t="shared" si="2"/>
        <v/>
      </c>
      <c r="K9" s="358"/>
      <c r="L9" s="9" t="str">
        <f t="shared" si="3"/>
        <v/>
      </c>
      <c r="M9" s="358"/>
      <c r="N9" s="9" t="str">
        <f t="shared" si="4"/>
        <v/>
      </c>
      <c r="O9" s="358"/>
      <c r="R9" s="361"/>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7" t="s">
        <v>2</v>
      </c>
      <c r="B10" s="17" t="str">
        <f t="shared" si="21"/>
        <v>Herderich, Christine</v>
      </c>
      <c r="C10" s="18">
        <f t="shared" si="21"/>
        <v>7956</v>
      </c>
      <c r="D10" s="14">
        <f t="shared" si="21"/>
        <v>160</v>
      </c>
      <c r="E10" s="356">
        <f>IF(V10="","",V10)</f>
        <v>0.5</v>
      </c>
      <c r="F10" s="14">
        <f t="shared" si="0"/>
        <v>144</v>
      </c>
      <c r="G10" s="356">
        <f>IF(X10="","",X10)</f>
        <v>0</v>
      </c>
      <c r="H10" s="14">
        <f t="shared" si="1"/>
        <v>138</v>
      </c>
      <c r="I10" s="356">
        <f>IF(Z10="","",Z10)</f>
        <v>0</v>
      </c>
      <c r="J10" s="14">
        <f t="shared" si="2"/>
        <v>133</v>
      </c>
      <c r="K10" s="356">
        <f>IF(AB10="","",AB10)</f>
        <v>0</v>
      </c>
      <c r="L10" s="14">
        <f t="shared" si="3"/>
        <v>129</v>
      </c>
      <c r="M10" s="356">
        <f>IF(AD10="","",AD10)</f>
        <v>0</v>
      </c>
      <c r="N10" s="14">
        <f t="shared" si="4"/>
        <v>848</v>
      </c>
      <c r="O10" s="356">
        <f>IF(AH10="","",AH10)</f>
        <v>0.5</v>
      </c>
      <c r="R10" s="359"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5">
      <c r="A11" s="378"/>
      <c r="B11" s="19" t="str">
        <f t="shared" si="21"/>
        <v/>
      </c>
      <c r="C11" s="20" t="str">
        <f t="shared" si="21"/>
        <v/>
      </c>
      <c r="D11" s="15" t="str">
        <f t="shared" si="21"/>
        <v/>
      </c>
      <c r="E11" s="357"/>
      <c r="F11" s="15" t="str">
        <f t="shared" si="0"/>
        <v/>
      </c>
      <c r="G11" s="357"/>
      <c r="H11" s="15" t="str">
        <f t="shared" si="1"/>
        <v/>
      </c>
      <c r="I11" s="357"/>
      <c r="J11" s="15" t="str">
        <f t="shared" si="2"/>
        <v/>
      </c>
      <c r="K11" s="357"/>
      <c r="L11" s="15" t="str">
        <f t="shared" si="3"/>
        <v/>
      </c>
      <c r="M11" s="357"/>
      <c r="N11" s="15" t="str">
        <f t="shared" si="4"/>
        <v/>
      </c>
      <c r="O11" s="357"/>
      <c r="R11" s="360"/>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9"/>
      <c r="B12" s="21" t="str">
        <f t="shared" si="21"/>
        <v/>
      </c>
      <c r="C12" s="22" t="str">
        <f t="shared" si="21"/>
        <v/>
      </c>
      <c r="D12" s="9" t="str">
        <f t="shared" si="21"/>
        <v/>
      </c>
      <c r="E12" s="358"/>
      <c r="F12" s="9" t="str">
        <f t="shared" si="0"/>
        <v/>
      </c>
      <c r="G12" s="358"/>
      <c r="H12" s="9" t="str">
        <f t="shared" si="1"/>
        <v/>
      </c>
      <c r="I12" s="358"/>
      <c r="J12" s="9" t="str">
        <f t="shared" si="2"/>
        <v/>
      </c>
      <c r="K12" s="358"/>
      <c r="L12" s="9" t="str">
        <f t="shared" si="3"/>
        <v/>
      </c>
      <c r="M12" s="358"/>
      <c r="N12" s="9" t="str">
        <f t="shared" si="4"/>
        <v/>
      </c>
      <c r="O12" s="358"/>
      <c r="R12" s="361"/>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7" t="s">
        <v>3</v>
      </c>
      <c r="B13" s="17" t="str">
        <f t="shared" si="21"/>
        <v>Beinlich, Gabriele</v>
      </c>
      <c r="C13" s="18">
        <f t="shared" si="21"/>
        <v>38697</v>
      </c>
      <c r="D13" s="14">
        <f t="shared" si="21"/>
        <v>133</v>
      </c>
      <c r="E13" s="356">
        <f>IF(V13="","",V13)</f>
        <v>0</v>
      </c>
      <c r="F13" s="14">
        <f t="shared" si="0"/>
        <v>205</v>
      </c>
      <c r="G13" s="356">
        <f>IF(X13="","",X13)</f>
        <v>1</v>
      </c>
      <c r="H13" s="14">
        <f t="shared" si="1"/>
        <v>139</v>
      </c>
      <c r="I13" s="356">
        <f>IF(Z13="","",Z13)</f>
        <v>1</v>
      </c>
      <c r="J13" s="14">
        <f t="shared" si="2"/>
        <v>117</v>
      </c>
      <c r="K13" s="356">
        <f>IF(AB13="","",AB13)</f>
        <v>0</v>
      </c>
      <c r="L13" s="14">
        <f t="shared" si="3"/>
        <v>127</v>
      </c>
      <c r="M13" s="356">
        <f>IF(AD13="","",AD13)</f>
        <v>0</v>
      </c>
      <c r="N13" s="14">
        <f t="shared" si="4"/>
        <v>872</v>
      </c>
      <c r="O13" s="356">
        <f>IF(AH13="","",AH13)</f>
        <v>2</v>
      </c>
      <c r="R13" s="359"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5">
      <c r="A14" s="378"/>
      <c r="B14" s="19" t="str">
        <f t="shared" si="21"/>
        <v/>
      </c>
      <c r="C14" s="20" t="str">
        <f t="shared" si="21"/>
        <v/>
      </c>
      <c r="D14" s="15" t="str">
        <f t="shared" si="21"/>
        <v/>
      </c>
      <c r="E14" s="357"/>
      <c r="F14" s="15" t="str">
        <f t="shared" si="0"/>
        <v/>
      </c>
      <c r="G14" s="357"/>
      <c r="H14" s="15" t="str">
        <f t="shared" si="1"/>
        <v/>
      </c>
      <c r="I14" s="357"/>
      <c r="J14" s="15" t="str">
        <f t="shared" si="2"/>
        <v/>
      </c>
      <c r="K14" s="357"/>
      <c r="L14" s="15" t="str">
        <f t="shared" si="3"/>
        <v/>
      </c>
      <c r="M14" s="357"/>
      <c r="N14" s="15" t="str">
        <f t="shared" si="4"/>
        <v/>
      </c>
      <c r="O14" s="357"/>
      <c r="R14" s="360"/>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9"/>
      <c r="B15" s="21" t="str">
        <f t="shared" si="21"/>
        <v/>
      </c>
      <c r="C15" s="22" t="str">
        <f t="shared" si="21"/>
        <v/>
      </c>
      <c r="D15" s="9" t="str">
        <f t="shared" si="21"/>
        <v/>
      </c>
      <c r="E15" s="358"/>
      <c r="F15" s="9" t="str">
        <f t="shared" si="0"/>
        <v/>
      </c>
      <c r="G15" s="358"/>
      <c r="H15" s="9" t="str">
        <f t="shared" si="1"/>
        <v/>
      </c>
      <c r="I15" s="358"/>
      <c r="J15" s="9" t="str">
        <f t="shared" si="2"/>
        <v/>
      </c>
      <c r="K15" s="358"/>
      <c r="L15" s="9" t="str">
        <f t="shared" si="3"/>
        <v/>
      </c>
      <c r="M15" s="358"/>
      <c r="N15" s="9" t="str">
        <f t="shared" si="4"/>
        <v/>
      </c>
      <c r="O15" s="358"/>
      <c r="R15" s="361"/>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7" t="s">
        <v>11</v>
      </c>
      <c r="B16" s="17" t="str">
        <f>IF(S16=0,"",S16)</f>
        <v>Hackel, Monika</v>
      </c>
      <c r="C16" s="18">
        <f t="shared" si="21"/>
        <v>38512</v>
      </c>
      <c r="D16" s="14">
        <f t="shared" si="21"/>
        <v>157</v>
      </c>
      <c r="E16" s="356">
        <f>IF(V16="","",V16)</f>
        <v>1</v>
      </c>
      <c r="F16" s="14">
        <f t="shared" si="0"/>
        <v>151</v>
      </c>
      <c r="G16" s="356">
        <f>IF(X16="","",X16)</f>
        <v>1</v>
      </c>
      <c r="H16" s="14">
        <f t="shared" si="1"/>
        <v>179</v>
      </c>
      <c r="I16" s="356">
        <f>IF(Z16="","",Z16)</f>
        <v>1</v>
      </c>
      <c r="J16" s="14">
        <f t="shared" si="2"/>
        <v>156</v>
      </c>
      <c r="K16" s="356">
        <f>IF(AB16="","",AB16)</f>
        <v>0</v>
      </c>
      <c r="L16" s="14">
        <f t="shared" si="3"/>
        <v>167</v>
      </c>
      <c r="M16" s="356">
        <f>IF(AD16="","",AD16)</f>
        <v>1</v>
      </c>
      <c r="N16" s="14">
        <f t="shared" si="4"/>
        <v>976</v>
      </c>
      <c r="O16" s="356">
        <f>IF(AH16="","",AH16)</f>
        <v>4</v>
      </c>
      <c r="R16" s="359"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5">
      <c r="A17" s="378"/>
      <c r="B17" s="19" t="str">
        <f>IF(S17=0,"",S17)</f>
        <v/>
      </c>
      <c r="C17" s="20" t="str">
        <f t="shared" si="21"/>
        <v/>
      </c>
      <c r="D17" s="15" t="str">
        <f t="shared" si="21"/>
        <v/>
      </c>
      <c r="E17" s="357"/>
      <c r="F17" s="15" t="str">
        <f t="shared" si="0"/>
        <v/>
      </c>
      <c r="G17" s="357"/>
      <c r="H17" s="15" t="str">
        <f t="shared" si="1"/>
        <v/>
      </c>
      <c r="I17" s="357"/>
      <c r="J17" s="15" t="str">
        <f t="shared" si="2"/>
        <v/>
      </c>
      <c r="K17" s="357"/>
      <c r="L17" s="15" t="str">
        <f t="shared" si="3"/>
        <v/>
      </c>
      <c r="M17" s="357"/>
      <c r="N17" s="15" t="str">
        <f t="shared" si="4"/>
        <v/>
      </c>
      <c r="O17" s="357"/>
      <c r="R17" s="360"/>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9"/>
      <c r="B18" s="21" t="str">
        <f>IF(S18=0,"",S18)</f>
        <v/>
      </c>
      <c r="C18" s="22" t="str">
        <f t="shared" si="21"/>
        <v/>
      </c>
      <c r="D18" s="9" t="str">
        <f t="shared" si="21"/>
        <v/>
      </c>
      <c r="E18" s="358"/>
      <c r="F18" s="9" t="str">
        <f t="shared" si="0"/>
        <v/>
      </c>
      <c r="G18" s="358"/>
      <c r="H18" s="9" t="str">
        <f t="shared" si="1"/>
        <v/>
      </c>
      <c r="I18" s="358"/>
      <c r="J18" s="9" t="str">
        <f t="shared" si="2"/>
        <v/>
      </c>
      <c r="K18" s="358"/>
      <c r="L18" s="9" t="str">
        <f t="shared" si="3"/>
        <v/>
      </c>
      <c r="M18" s="358"/>
      <c r="N18" s="9" t="str">
        <f t="shared" si="4"/>
        <v/>
      </c>
      <c r="O18" s="358"/>
      <c r="R18" s="361"/>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4">
        <f t="shared" si="24"/>
        <v>2</v>
      </c>
      <c r="E22" s="354" t="str">
        <f t="shared" si="24"/>
        <v/>
      </c>
      <c r="F22" s="354">
        <f t="shared" si="24"/>
        <v>2</v>
      </c>
      <c r="G22" s="354" t="str">
        <f t="shared" si="24"/>
        <v/>
      </c>
      <c r="H22" s="354">
        <f t="shared" si="24"/>
        <v>2</v>
      </c>
      <c r="I22" s="354" t="str">
        <f t="shared" si="24"/>
        <v/>
      </c>
      <c r="J22" s="354">
        <f t="shared" si="24"/>
        <v>2</v>
      </c>
      <c r="K22" s="354" t="str">
        <f t="shared" si="24"/>
        <v/>
      </c>
      <c r="L22" s="354">
        <f t="shared" si="24"/>
        <v>2</v>
      </c>
      <c r="M22" s="354" t="str">
        <f t="shared" si="24"/>
        <v/>
      </c>
      <c r="N22" s="355"/>
      <c r="O22" s="355"/>
      <c r="S22" s="13" t="s">
        <v>1786</v>
      </c>
      <c r="T22" s="5" t="s">
        <v>1787</v>
      </c>
      <c r="U22" s="373">
        <f>VLOOKUP($S2,Schlüssel!$A$5:$K$10,3)</f>
        <v>2</v>
      </c>
      <c r="V22" s="374"/>
      <c r="W22" s="373">
        <f>VLOOKUP($S2,Schlüssel!$A$5:$K$10,4)</f>
        <v>2</v>
      </c>
      <c r="X22" s="374"/>
      <c r="Y22" s="373">
        <f>VLOOKUP($S2,Schlüssel!$A$5:$K$10,5)</f>
        <v>2</v>
      </c>
      <c r="Z22" s="374"/>
      <c r="AA22" s="373">
        <f>VLOOKUP($S2,Schlüssel!$A$5:$K$10,6)</f>
        <v>2</v>
      </c>
      <c r="AB22" s="374"/>
      <c r="AC22" s="373">
        <f>VLOOKUP($S2,Schlüssel!$A$5:$K$10,7)</f>
        <v>2</v>
      </c>
      <c r="AD22" s="374"/>
      <c r="AE22" s="373">
        <f>VLOOKUP($S2,Schlüssel!$A$5:$K$10,8)</f>
        <v>2</v>
      </c>
      <c r="AF22" s="374"/>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1" t="str">
        <f t="shared" si="25"/>
        <v>BC Phönix Lauf</v>
      </c>
      <c r="E23" s="352" t="str">
        <f t="shared" si="25"/>
        <v/>
      </c>
      <c r="F23" s="351" t="str">
        <f t="shared" si="25"/>
        <v>BC Phönix Lauf</v>
      </c>
      <c r="G23" s="352" t="str">
        <f t="shared" si="25"/>
        <v/>
      </c>
      <c r="H23" s="351" t="str">
        <f t="shared" si="25"/>
        <v>BC Phönix Lauf</v>
      </c>
      <c r="I23" s="352" t="str">
        <f t="shared" si="25"/>
        <v/>
      </c>
      <c r="J23" s="351" t="str">
        <f t="shared" si="25"/>
        <v>BC Phönix Lauf</v>
      </c>
      <c r="K23" s="352" t="str">
        <f t="shared" si="25"/>
        <v/>
      </c>
      <c r="L23" s="351" t="str">
        <f>IF(AC23=0,"",AC23)</f>
        <v>BC Phönix Lauf</v>
      </c>
      <c r="M23" s="352" t="str">
        <f>IF(AD23=0,"",AD23)</f>
        <v/>
      </c>
      <c r="N23" s="353"/>
      <c r="O23" s="353"/>
      <c r="S23" s="4"/>
      <c r="T23" s="1"/>
      <c r="U23" s="351" t="str">
        <f>VLOOKUP(U22,Schlüssel!$A$5:$K$10,2)</f>
        <v>BC Phönix Lauf</v>
      </c>
      <c r="V23" s="352"/>
      <c r="W23" s="351" t="str">
        <f>VLOOKUP(W22,Schlüssel!$A$5:$K$10,2)</f>
        <v>BC Phönix Lauf</v>
      </c>
      <c r="X23" s="352"/>
      <c r="Y23" s="351" t="str">
        <f>VLOOKUP(Y22,Schlüssel!$A$5:$K$10,2)</f>
        <v>BC Phönix Lauf</v>
      </c>
      <c r="Z23" s="352"/>
      <c r="AA23" s="351" t="str">
        <f>VLOOKUP(AA22,Schlüssel!$A$5:$K$10,2)</f>
        <v>BC Phönix Lauf</v>
      </c>
      <c r="AB23" s="352"/>
      <c r="AC23" s="351" t="str">
        <f>VLOOKUP(AC22,Schlüssel!$A$5:$K$10,2)</f>
        <v>BC Phönix Lauf</v>
      </c>
      <c r="AD23" s="352"/>
      <c r="AE23" s="351" t="str">
        <f>VLOOKUP(AE22,Schlüssel!$A$5:$K$10,2)</f>
        <v>BC Phönix Lauf</v>
      </c>
      <c r="AF23" s="35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50" t="str">
        <f t="shared" si="25"/>
        <v/>
      </c>
      <c r="E24" s="350" t="str">
        <f t="shared" si="25"/>
        <v/>
      </c>
      <c r="F24" s="350" t="str">
        <f t="shared" si="25"/>
        <v/>
      </c>
      <c r="G24" s="350" t="str">
        <f t="shared" si="25"/>
        <v/>
      </c>
      <c r="H24" s="350" t="str">
        <f t="shared" si="25"/>
        <v/>
      </c>
      <c r="I24" s="350" t="str">
        <f t="shared" si="25"/>
        <v/>
      </c>
      <c r="J24" s="350" t="str">
        <f t="shared" si="25"/>
        <v/>
      </c>
      <c r="K24" s="350" t="str">
        <f t="shared" si="25"/>
        <v/>
      </c>
      <c r="L24" s="350" t="str">
        <f>IF(AC24=0,"",AC24)</f>
        <v/>
      </c>
      <c r="M24" s="350"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5" t="str">
        <f t="shared" ref="B25:C29" si="26">IF(S25=0,"",S25)</f>
        <v>Spieler 1</v>
      </c>
      <c r="C25" s="376" t="str">
        <f t="shared" si="26"/>
        <v/>
      </c>
      <c r="D25" s="348">
        <f>IF(U25=301,"",U25)</f>
        <v>161</v>
      </c>
      <c r="E25" s="348" t="str">
        <f>IF(V25=0,"",V25)</f>
        <v/>
      </c>
      <c r="F25" s="348">
        <f>IF(W25=301,"",W25)</f>
        <v>153</v>
      </c>
      <c r="G25" s="348" t="str">
        <f>IF(X25=0,"",X25)</f>
        <v/>
      </c>
      <c r="H25" s="348">
        <f>IF(Y25=301,"",Y25)</f>
        <v>180</v>
      </c>
      <c r="I25" s="348" t="str">
        <f>IF(Z25=0,"",Z25)</f>
        <v/>
      </c>
      <c r="J25" s="348">
        <f>IF(AA25=301,"",AA25)</f>
        <v>145</v>
      </c>
      <c r="K25" s="348" t="str">
        <f>IF(AB25=0,"",AB25)</f>
        <v/>
      </c>
      <c r="L25" s="348">
        <f>IF(AC25=301,"",AC25)</f>
        <v>140</v>
      </c>
      <c r="M25" s="348" t="str">
        <f>IF(AD25=0,"",AD25)</f>
        <v/>
      </c>
      <c r="N25" s="349"/>
      <c r="O25" s="349"/>
      <c r="S25" s="35" t="s">
        <v>0</v>
      </c>
      <c r="T25" s="36"/>
      <c r="U25" s="371">
        <f>ABS(INDEX(U:U,MATCH(U22,$S:$S,0)+5)+INDEX(U:U,MATCH(U22,$S:$S,0)+6)+INDEX(U:U,MATCH(U22,$S:$S,0)+7))</f>
        <v>161</v>
      </c>
      <c r="V25" s="372"/>
      <c r="W25" s="371">
        <f>ABS(INDEX(W:W,MATCH(W22,$S:$S,0)+5)+INDEX(W:W,MATCH(W22,$S:$S,0)+6)+INDEX(W:W,MATCH(W22,$S:$S,0)+7))</f>
        <v>153</v>
      </c>
      <c r="X25" s="372"/>
      <c r="Y25" s="371">
        <f>ABS(INDEX(Y:Y,MATCH(Y22,$S:$S,0)+5)+INDEX(Y:Y,MATCH(Y22,$S:$S,0)+6)+INDEX(Y:Y,MATCH(Y22,$S:$S,0)+7))</f>
        <v>180</v>
      </c>
      <c r="Z25" s="372"/>
      <c r="AA25" s="371">
        <f>ABS(INDEX(AA:AA,MATCH(AA22,$S:$S,0)+5)+INDEX(AA:AA,MATCH(AA22,$S:$S,0)+6)+INDEX(AA:AA,MATCH(AA22,$S:$S,0)+7))</f>
        <v>145</v>
      </c>
      <c r="AB25" s="372"/>
      <c r="AC25" s="371">
        <f>ABS(INDEX(AC:AC,MATCH(AC22,$S:$S,0)+5)+INDEX(AC:AC,MATCH(AC22,$S:$S,0)+6)+INDEX(AC:AC,MATCH(AC22,$S:$S,0)+7))</f>
        <v>140</v>
      </c>
      <c r="AD25" s="372"/>
      <c r="AE25" s="371">
        <f>ABS(INDEX(AE:AE,MATCH(AE22,$S:$S,0)+5)+INDEX(AE:AE,MATCH(AE22,$S:$S,0)+6)+INDEX(AE:AE,MATCH(AE22,$S:$S,0)+7))</f>
        <v>181</v>
      </c>
      <c r="AF25" s="372"/>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5" t="str">
        <f t="shared" si="26"/>
        <v>Spieler 2</v>
      </c>
      <c r="C26" s="376" t="str">
        <f t="shared" si="26"/>
        <v/>
      </c>
      <c r="D26" s="348">
        <f>IF(U26=301,"",U26)</f>
        <v>160</v>
      </c>
      <c r="E26" s="348" t="str">
        <f>IF(V26=0,"",V26)</f>
        <v/>
      </c>
      <c r="F26" s="348">
        <f>IF(W26=301,"",W26)</f>
        <v>150</v>
      </c>
      <c r="G26" s="348" t="str">
        <f>IF(X26=0,"",X26)</f>
        <v/>
      </c>
      <c r="H26" s="348">
        <f>IF(Y26=301,"",Y26)</f>
        <v>195</v>
      </c>
      <c r="I26" s="348" t="str">
        <f>IF(Z26=0,"",Z26)</f>
        <v/>
      </c>
      <c r="J26" s="348">
        <f>IF(AA26=301,"",AA26)</f>
        <v>173</v>
      </c>
      <c r="K26" s="348" t="str">
        <f>IF(AB26=0,"",AB26)</f>
        <v/>
      </c>
      <c r="L26" s="348">
        <f>IF(AC26=301,"",AC26)</f>
        <v>195</v>
      </c>
      <c r="M26" s="348" t="str">
        <f>IF(AD26=0,"",AD26)</f>
        <v/>
      </c>
      <c r="N26" s="349"/>
      <c r="O26" s="349"/>
      <c r="S26" s="35" t="s">
        <v>2</v>
      </c>
      <c r="T26" s="36"/>
      <c r="U26" s="369">
        <f>ABS(INDEX(U:U,MATCH(U22,$S:$S,0)+8)+INDEX(U:U,MATCH(U22,$S:$S,0)+9)+INDEX(U:U,MATCH(U22,$S:$S,0)+10))</f>
        <v>160</v>
      </c>
      <c r="V26" s="370"/>
      <c r="W26" s="369">
        <f>ABS(INDEX(W:W,MATCH(W22,$S:$S,0)+8)+INDEX(W:W,MATCH(W22,$S:$S,0)+9)+INDEX(W:W,MATCH(W22,$S:$S,0)+10))</f>
        <v>150</v>
      </c>
      <c r="X26" s="370"/>
      <c r="Y26" s="369">
        <f>ABS(INDEX(Y:Y,MATCH(Y22,$S:$S,0)+8)+INDEX(Y:Y,MATCH(Y22,$S:$S,0)+9)+INDEX(Y:Y,MATCH(Y22,$S:$S,0)+10))</f>
        <v>195</v>
      </c>
      <c r="Z26" s="370"/>
      <c r="AA26" s="369">
        <f>ABS(INDEX(AA:AA,MATCH(AA22,$S:$S,0)+8)+INDEX(AA:AA,MATCH(AA22,$S:$S,0)+9)+INDEX(AA:AA,MATCH(AA22,$S:$S,0)+10))</f>
        <v>173</v>
      </c>
      <c r="AB26" s="370"/>
      <c r="AC26" s="369">
        <f>ABS(INDEX(AC:AC,MATCH(AC22,$S:$S,0)+8)+INDEX(AC:AC,MATCH(AC22,$S:$S,0)+9)+INDEX(AC:AC,MATCH(AC22,$S:$S,0)+10))</f>
        <v>195</v>
      </c>
      <c r="AD26" s="370"/>
      <c r="AE26" s="369">
        <f>ABS(INDEX(AE:AE,MATCH(AE22,$S:$S,0)+8)+INDEX(AE:AE,MATCH(AE22,$S:$S,0)+9)+INDEX(AE:AE,MATCH(AE22,$S:$S,0)+10))</f>
        <v>169</v>
      </c>
      <c r="AF26" s="370"/>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5" t="str">
        <f t="shared" si="26"/>
        <v>Spieler 3</v>
      </c>
      <c r="C27" s="376" t="str">
        <f t="shared" si="26"/>
        <v/>
      </c>
      <c r="D27" s="348">
        <f>IF(U27=301,"",U27)</f>
        <v>174</v>
      </c>
      <c r="E27" s="348" t="str">
        <f>IF(V27=0,"",V27)</f>
        <v/>
      </c>
      <c r="F27" s="348">
        <f>IF(W27=301,"",W27)</f>
        <v>126</v>
      </c>
      <c r="G27" s="348" t="str">
        <f>IF(X27=0,"",X27)</f>
        <v/>
      </c>
      <c r="H27" s="348">
        <f>IF(Y27=301,"",Y27)</f>
        <v>135</v>
      </c>
      <c r="I27" s="348" t="str">
        <f>IF(Z27=0,"",Z27)</f>
        <v/>
      </c>
      <c r="J27" s="348">
        <f>IF(AA27=301,"",AA27)</f>
        <v>177</v>
      </c>
      <c r="K27" s="348" t="str">
        <f>IF(AB27=0,"",AB27)</f>
        <v/>
      </c>
      <c r="L27" s="348">
        <f>IF(AC27=301,"",AC27)</f>
        <v>180</v>
      </c>
      <c r="M27" s="348" t="str">
        <f>IF(AD27=0,"",AD27)</f>
        <v/>
      </c>
      <c r="N27" s="349"/>
      <c r="O27" s="349"/>
      <c r="S27" s="35" t="s">
        <v>3</v>
      </c>
      <c r="T27" s="36"/>
      <c r="U27" s="369">
        <f>ABS(INDEX(U:U,MATCH(U22,$S:$S,0)+11)+INDEX(U:U,MATCH(U22,$S:$S,0)+12)+INDEX(U:U,MATCH(U22,$S:$S,0)+13))</f>
        <v>174</v>
      </c>
      <c r="V27" s="370"/>
      <c r="W27" s="369">
        <f>ABS(INDEX(W:W,MATCH(W22,$S:$S,0)+11)+INDEX(W:W,MATCH(W22,$S:$S,0)+12)+INDEX(W:W,MATCH(W22,$S:$S,0)+13))</f>
        <v>126</v>
      </c>
      <c r="X27" s="370"/>
      <c r="Y27" s="369">
        <f>ABS(INDEX(Y:Y,MATCH(Y22,$S:$S,0)+11)+INDEX(Y:Y,MATCH(Y22,$S:$S,0)+12)+INDEX(Y:Y,MATCH(Y22,$S:$S,0)+13))</f>
        <v>135</v>
      </c>
      <c r="Z27" s="370"/>
      <c r="AA27" s="369">
        <f>ABS(INDEX(AA:AA,MATCH(AA22,$S:$S,0)+11)+INDEX(AA:AA,MATCH(AA22,$S:$S,0)+12)+INDEX(AA:AA,MATCH(AA22,$S:$S,0)+13))</f>
        <v>177</v>
      </c>
      <c r="AB27" s="370"/>
      <c r="AC27" s="369">
        <f>ABS(INDEX(AC:AC,MATCH(AC22,$S:$S,0)+11)+INDEX(AC:AC,MATCH(AC22,$S:$S,0)+12)+INDEX(AC:AC,MATCH(AC22,$S:$S,0)+13))</f>
        <v>180</v>
      </c>
      <c r="AD27" s="370"/>
      <c r="AE27" s="369">
        <f>ABS(INDEX(AE:AE,MATCH(AE22,$S:$S,0)+11)+INDEX(AE:AE,MATCH(AE22,$S:$S,0)+12)+INDEX(AE:AE,MATCH(AE22,$S:$S,0)+13))</f>
        <v>220</v>
      </c>
      <c r="AF27" s="370"/>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5" t="str">
        <f t="shared" si="26"/>
        <v>Spieler 4</v>
      </c>
      <c r="C28" s="376" t="str">
        <f t="shared" si="26"/>
        <v/>
      </c>
      <c r="D28" s="348">
        <f>IF(U28=301,"",U28)</f>
        <v>154</v>
      </c>
      <c r="E28" s="348" t="str">
        <f>IF(V28=0,"",V28)</f>
        <v/>
      </c>
      <c r="F28" s="348">
        <f>IF(W28=301,"",W28)</f>
        <v>137</v>
      </c>
      <c r="G28" s="348" t="str">
        <f>IF(X28=0,"",X28)</f>
        <v/>
      </c>
      <c r="H28" s="348">
        <f>IF(Y28=301,"",Y28)</f>
        <v>151</v>
      </c>
      <c r="I28" s="348" t="str">
        <f>IF(Z28=0,"",Z28)</f>
        <v/>
      </c>
      <c r="J28" s="348">
        <f>IF(AA28=301,"",AA28)</f>
        <v>190</v>
      </c>
      <c r="K28" s="348" t="str">
        <f>IF(AB28=0,"",AB28)</f>
        <v/>
      </c>
      <c r="L28" s="348">
        <f>IF(AC28=301,"",AC28)</f>
        <v>145</v>
      </c>
      <c r="M28" s="348" t="str">
        <f>IF(AD28=0,"",AD28)</f>
        <v/>
      </c>
      <c r="N28" s="349"/>
      <c r="O28" s="349"/>
      <c r="S28" s="35" t="s">
        <v>11</v>
      </c>
      <c r="T28" s="36"/>
      <c r="U28" s="369">
        <f>ABS(INDEX(U:U,MATCH(U22,$S:$S,0)+14)+INDEX(U:U,MATCH(U22,$S:$S,0)+15)+INDEX(U:U,MATCH(U22,$S:$S,0)+16))</f>
        <v>154</v>
      </c>
      <c r="V28" s="370"/>
      <c r="W28" s="369">
        <f>ABS(INDEX(W:W,MATCH(W22,$S:$S,0)+14)+INDEX(W:W,MATCH(W22,$S:$S,0)+15)+INDEX(W:W,MATCH(W22,$S:$S,0)+16))</f>
        <v>137</v>
      </c>
      <c r="X28" s="370"/>
      <c r="Y28" s="369">
        <f>ABS(INDEX(Y:Y,MATCH(Y22,$S:$S,0)+14)+INDEX(Y:Y,MATCH(Y22,$S:$S,0)+15)+INDEX(Y:Y,MATCH(Y22,$S:$S,0)+16))</f>
        <v>151</v>
      </c>
      <c r="Z28" s="370"/>
      <c r="AA28" s="369">
        <f>ABS(INDEX(AA:AA,MATCH(AA22,$S:$S,0)+14)+INDEX(AA:AA,MATCH(AA22,$S:$S,0)+15)+INDEX(AA:AA,MATCH(AA22,$S:$S,0)+16))</f>
        <v>190</v>
      </c>
      <c r="AB28" s="370"/>
      <c r="AC28" s="369">
        <f>ABS(INDEX(AC:AC,MATCH(AC22,$S:$S,0)+14)+INDEX(AC:AC,MATCH(AC22,$S:$S,0)+15)+INDEX(AC:AC,MATCH(AC22,$S:$S,0)+16))</f>
        <v>145</v>
      </c>
      <c r="AD28" s="370"/>
      <c r="AE28" s="369">
        <f>ABS(INDEX(AE:AE,MATCH(AE22,$S:$S,0)+14)+INDEX(AE:AE,MATCH(AE22,$S:$S,0)+15)+INDEX(AE:AE,MATCH(AE22,$S:$S,0)+16))</f>
        <v>177</v>
      </c>
      <c r="AF28" s="370"/>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3" t="str">
        <f t="shared" si="26"/>
        <v>Gesamt</v>
      </c>
      <c r="C29" s="364" t="str">
        <f t="shared" si="26"/>
        <v/>
      </c>
      <c r="D29" s="347">
        <f>IF(U29=1505,"",U29)</f>
        <v>649</v>
      </c>
      <c r="E29" s="347" t="str">
        <f>IF(V29=0,"",V29)</f>
        <v/>
      </c>
      <c r="F29" s="347">
        <f>IF(W29=1505,"",W29)</f>
        <v>566</v>
      </c>
      <c r="G29" s="347" t="str">
        <f>IF(X29=0,"",X29)</f>
        <v/>
      </c>
      <c r="H29" s="347">
        <f>IF(Y29=1505,"",Y29)</f>
        <v>661</v>
      </c>
      <c r="I29" s="347" t="str">
        <f>IF(Z29=0,"",Z29)</f>
        <v/>
      </c>
      <c r="J29" s="347">
        <f>IF(AA29=1505,"",AA29)</f>
        <v>685</v>
      </c>
      <c r="K29" s="347" t="str">
        <f>IF(AB29=0,"",AB29)</f>
        <v/>
      </c>
      <c r="L29" s="347">
        <f>IF(AC29=1505,"",AC29)</f>
        <v>660</v>
      </c>
      <c r="M29" s="347" t="str">
        <f>IF(AD29=0,"",AD29)</f>
        <v/>
      </c>
      <c r="N29" s="312"/>
      <c r="O29" s="312"/>
      <c r="S29" s="37" t="s">
        <v>1788</v>
      </c>
      <c r="T29" s="38"/>
      <c r="U29" s="363">
        <f>SUM(U25:U28)</f>
        <v>649</v>
      </c>
      <c r="V29" s="364"/>
      <c r="W29" s="363">
        <f>SUM(W25:W28)</f>
        <v>566</v>
      </c>
      <c r="X29" s="364"/>
      <c r="Y29" s="363">
        <f>SUM(Y25:Y28)</f>
        <v>661</v>
      </c>
      <c r="Z29" s="364"/>
      <c r="AA29" s="363">
        <f>SUM(AA25:AA28)</f>
        <v>685</v>
      </c>
      <c r="AB29" s="364"/>
      <c r="AC29" s="363">
        <f>SUM(AC25:AC28)</f>
        <v>660</v>
      </c>
      <c r="AD29" s="364"/>
      <c r="AE29" s="363">
        <f>SUM(AE25:AE28)</f>
        <v>747</v>
      </c>
      <c r="AF29" s="364"/>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80" t="str">
        <f>AD31</f>
        <v>29.09.</v>
      </c>
      <c r="N31" s="380"/>
      <c r="O31" s="380"/>
      <c r="P31" s="381"/>
      <c r="Q31" s="381"/>
      <c r="R31" s="381"/>
      <c r="S31" s="7" t="s">
        <v>1798</v>
      </c>
      <c r="T31" s="25"/>
      <c r="U31" s="30" t="s">
        <v>1782</v>
      </c>
      <c r="V31" s="76" t="str">
        <f>Schlüssel!$C$1</f>
        <v>Landesliga Nord Frauen</v>
      </c>
      <c r="X31" s="25"/>
      <c r="Y31" s="25"/>
      <c r="Z31" s="25"/>
      <c r="AA31" s="25"/>
      <c r="AC31" s="29"/>
      <c r="AD31" s="362" t="str">
        <f>Schlüssel!$M$1</f>
        <v>29.09.</v>
      </c>
      <c r="AE31" s="362"/>
      <c r="AF31" s="362"/>
      <c r="AG31" s="362"/>
      <c r="AH31" s="362"/>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5">
      <c r="B35" s="40" t="s">
        <v>1</v>
      </c>
      <c r="C35" s="41"/>
      <c r="D35" s="363" t="s">
        <v>1789</v>
      </c>
      <c r="E35" s="364"/>
      <c r="F35" s="363" t="s">
        <v>1790</v>
      </c>
      <c r="G35" s="364"/>
      <c r="H35" s="363" t="s">
        <v>1791</v>
      </c>
      <c r="I35" s="364"/>
      <c r="J35" s="363" t="s">
        <v>1792</v>
      </c>
      <c r="K35" s="364"/>
      <c r="L35" s="363" t="s">
        <v>1793</v>
      </c>
      <c r="M35" s="364"/>
      <c r="N35" s="365" t="s">
        <v>1788</v>
      </c>
      <c r="O35" s="366"/>
      <c r="S35" s="40" t="s">
        <v>1</v>
      </c>
      <c r="T35" s="41"/>
      <c r="U35" s="363" t="s">
        <v>1789</v>
      </c>
      <c r="V35" s="364"/>
      <c r="W35" s="363" t="s">
        <v>1790</v>
      </c>
      <c r="X35" s="364"/>
      <c r="Y35" s="363" t="s">
        <v>1791</v>
      </c>
      <c r="Z35" s="364"/>
      <c r="AA35" s="363" t="s">
        <v>1792</v>
      </c>
      <c r="AB35" s="364"/>
      <c r="AC35" s="363" t="s">
        <v>1793</v>
      </c>
      <c r="AD35" s="368"/>
      <c r="AE35" s="363" t="s">
        <v>2088</v>
      </c>
      <c r="AF35" s="368"/>
      <c r="AG35" s="367" t="s">
        <v>1788</v>
      </c>
      <c r="AH35" s="36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7" t="s">
        <v>0</v>
      </c>
      <c r="B37" s="17" t="str">
        <f>IF(S37=0,"",S37)</f>
        <v>Schulz-Burkert, Roswitha</v>
      </c>
      <c r="C37" s="18">
        <f>IF(T37=0,"",T37)</f>
        <v>25347</v>
      </c>
      <c r="D37" s="14">
        <f>IF(U37=0,"",U37)</f>
        <v>161</v>
      </c>
      <c r="E37" s="356">
        <f>IF(V37="","",V37)</f>
        <v>0</v>
      </c>
      <c r="F37" s="14">
        <f t="shared" ref="F37:F50" si="27">IF(W37=0,"",W37)</f>
        <v>153</v>
      </c>
      <c r="G37" s="356">
        <f>IF(X37="","",X37)</f>
        <v>1</v>
      </c>
      <c r="H37" s="14">
        <f t="shared" ref="H37:H50" si="28">IF(Y37=0,"",Y37)</f>
        <v>180</v>
      </c>
      <c r="I37" s="356">
        <f>IF(Z37="","",Z37)</f>
        <v>0</v>
      </c>
      <c r="J37" s="14">
        <f t="shared" ref="J37:J50" si="29">IF(AA37=0,"",AA37)</f>
        <v>145</v>
      </c>
      <c r="K37" s="356">
        <f>IF(AB37="","",AB37)</f>
        <v>1</v>
      </c>
      <c r="L37" s="14">
        <f t="shared" ref="L37:L50" si="30">IF(AC37=0,"",AC37)</f>
        <v>140</v>
      </c>
      <c r="M37" s="356">
        <f>IF(AD37="","",AD37)</f>
        <v>0</v>
      </c>
      <c r="N37" s="14">
        <f t="shared" ref="N37:N50" si="31">IF(AG37=0,"",AG37)</f>
        <v>960</v>
      </c>
      <c r="O37" s="356">
        <f>IF(AH37="","",AH37)</f>
        <v>2</v>
      </c>
      <c r="R37" s="359"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5">
      <c r="A38" s="378"/>
      <c r="B38" s="19" t="str">
        <f t="shared" ref="B38:B45" si="48">IF(S38=0,"",S38)</f>
        <v/>
      </c>
      <c r="C38" s="20" t="str">
        <f t="shared" ref="C38:C50" si="49">IF(T38=0,"",T38)</f>
        <v/>
      </c>
      <c r="D38" s="15" t="str">
        <f t="shared" ref="D38:D50" si="50">IF(U38=0,"",U38)</f>
        <v/>
      </c>
      <c r="E38" s="357"/>
      <c r="F38" s="15" t="str">
        <f t="shared" si="27"/>
        <v/>
      </c>
      <c r="G38" s="357"/>
      <c r="H38" s="15" t="str">
        <f t="shared" si="28"/>
        <v/>
      </c>
      <c r="I38" s="357"/>
      <c r="J38" s="15" t="str">
        <f t="shared" si="29"/>
        <v/>
      </c>
      <c r="K38" s="357"/>
      <c r="L38" s="15" t="str">
        <f t="shared" si="30"/>
        <v/>
      </c>
      <c r="M38" s="357"/>
      <c r="N38" s="15" t="str">
        <f t="shared" si="31"/>
        <v/>
      </c>
      <c r="O38" s="357"/>
      <c r="R38" s="360"/>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3">
      <c r="A39" s="379"/>
      <c r="B39" s="21" t="str">
        <f t="shared" si="48"/>
        <v/>
      </c>
      <c r="C39" s="22" t="str">
        <f t="shared" si="49"/>
        <v/>
      </c>
      <c r="D39" s="9" t="str">
        <f t="shared" si="50"/>
        <v/>
      </c>
      <c r="E39" s="358"/>
      <c r="F39" s="9" t="str">
        <f t="shared" si="27"/>
        <v/>
      </c>
      <c r="G39" s="358"/>
      <c r="H39" s="9" t="str">
        <f t="shared" si="28"/>
        <v/>
      </c>
      <c r="I39" s="358"/>
      <c r="J39" s="9" t="str">
        <f t="shared" si="29"/>
        <v/>
      </c>
      <c r="K39" s="358"/>
      <c r="L39" s="9" t="str">
        <f t="shared" si="30"/>
        <v/>
      </c>
      <c r="M39" s="358"/>
      <c r="N39" s="9" t="str">
        <f t="shared" si="31"/>
        <v/>
      </c>
      <c r="O39" s="358"/>
      <c r="R39" s="361"/>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5">
      <c r="A40" s="377" t="s">
        <v>2</v>
      </c>
      <c r="B40" s="17" t="str">
        <f t="shared" si="48"/>
        <v>Fischer, Marika</v>
      </c>
      <c r="C40" s="18">
        <f t="shared" si="49"/>
        <v>38401</v>
      </c>
      <c r="D40" s="14">
        <f t="shared" si="50"/>
        <v>160</v>
      </c>
      <c r="E40" s="356">
        <f>IF(V40="","",V40)</f>
        <v>0.5</v>
      </c>
      <c r="F40" s="14">
        <f t="shared" si="27"/>
        <v>150</v>
      </c>
      <c r="G40" s="356">
        <f>IF(X40="","",X40)</f>
        <v>1</v>
      </c>
      <c r="H40" s="14">
        <f t="shared" si="28"/>
        <v>195</v>
      </c>
      <c r="I40" s="356">
        <f>IF(Z40="","",Z40)</f>
        <v>1</v>
      </c>
      <c r="J40" s="14">
        <f t="shared" si="29"/>
        <v>173</v>
      </c>
      <c r="K40" s="356">
        <f>IF(AB40="","",AB40)</f>
        <v>1</v>
      </c>
      <c r="L40" s="14">
        <f t="shared" si="30"/>
        <v>195</v>
      </c>
      <c r="M40" s="356">
        <f>IF(AD40="","",AD40)</f>
        <v>1</v>
      </c>
      <c r="N40" s="14">
        <f t="shared" si="31"/>
        <v>1042</v>
      </c>
      <c r="O40" s="356">
        <f>IF(AH40="","",AH40)</f>
        <v>5.5</v>
      </c>
      <c r="R40" s="359"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5">
      <c r="A41" s="378"/>
      <c r="B41" s="19" t="str">
        <f t="shared" si="48"/>
        <v/>
      </c>
      <c r="C41" s="20" t="str">
        <f t="shared" si="49"/>
        <v/>
      </c>
      <c r="D41" s="15" t="str">
        <f t="shared" si="50"/>
        <v/>
      </c>
      <c r="E41" s="357"/>
      <c r="F41" s="15" t="str">
        <f t="shared" si="27"/>
        <v/>
      </c>
      <c r="G41" s="357"/>
      <c r="H41" s="15" t="str">
        <f t="shared" si="28"/>
        <v/>
      </c>
      <c r="I41" s="357"/>
      <c r="J41" s="15" t="str">
        <f t="shared" si="29"/>
        <v/>
      </c>
      <c r="K41" s="357"/>
      <c r="L41" s="15" t="str">
        <f t="shared" si="30"/>
        <v/>
      </c>
      <c r="M41" s="357"/>
      <c r="N41" s="15" t="str">
        <f t="shared" si="31"/>
        <v/>
      </c>
      <c r="O41" s="357"/>
      <c r="R41" s="360"/>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3">
      <c r="A42" s="379"/>
      <c r="B42" s="21" t="str">
        <f t="shared" si="48"/>
        <v/>
      </c>
      <c r="C42" s="22" t="str">
        <f t="shared" si="49"/>
        <v/>
      </c>
      <c r="D42" s="9" t="str">
        <f t="shared" si="50"/>
        <v/>
      </c>
      <c r="E42" s="358"/>
      <c r="F42" s="9" t="str">
        <f t="shared" si="27"/>
        <v/>
      </c>
      <c r="G42" s="358"/>
      <c r="H42" s="9" t="str">
        <f t="shared" si="28"/>
        <v/>
      </c>
      <c r="I42" s="358"/>
      <c r="J42" s="9" t="str">
        <f t="shared" si="29"/>
        <v/>
      </c>
      <c r="K42" s="358"/>
      <c r="L42" s="9" t="str">
        <f t="shared" si="30"/>
        <v/>
      </c>
      <c r="M42" s="358"/>
      <c r="N42" s="9" t="str">
        <f t="shared" si="31"/>
        <v/>
      </c>
      <c r="O42" s="358"/>
      <c r="R42" s="361"/>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5">
      <c r="A43" s="377" t="s">
        <v>3</v>
      </c>
      <c r="B43" s="17" t="str">
        <f t="shared" si="48"/>
        <v>Cipriano, Martina</v>
      </c>
      <c r="C43" s="18">
        <f t="shared" si="49"/>
        <v>38798</v>
      </c>
      <c r="D43" s="14">
        <f t="shared" si="50"/>
        <v>174</v>
      </c>
      <c r="E43" s="356">
        <f>IF(V43="","",V43)</f>
        <v>1</v>
      </c>
      <c r="F43" s="14">
        <f t="shared" si="27"/>
        <v>126</v>
      </c>
      <c r="G43" s="356">
        <f>IF(X43="","",X43)</f>
        <v>0</v>
      </c>
      <c r="H43" s="14">
        <f t="shared" si="28"/>
        <v>135</v>
      </c>
      <c r="I43" s="356">
        <f>IF(Z43="","",Z43)</f>
        <v>0</v>
      </c>
      <c r="J43" s="14" t="str">
        <f t="shared" si="29"/>
        <v/>
      </c>
      <c r="K43" s="356">
        <f>IF(AB43="","",AB43)</f>
        <v>1</v>
      </c>
      <c r="L43" s="14" t="str">
        <f t="shared" si="30"/>
        <v/>
      </c>
      <c r="M43" s="356">
        <f>IF(AD43="","",AD43)</f>
        <v>1</v>
      </c>
      <c r="N43" s="14">
        <f t="shared" si="31"/>
        <v>435</v>
      </c>
      <c r="O43" s="356">
        <f>IF(AH43="","",AH43)</f>
        <v>4</v>
      </c>
      <c r="R43" s="359"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5">
      <c r="A44" s="378"/>
      <c r="B44" s="19" t="str">
        <f t="shared" si="48"/>
        <v>Schuster, Else</v>
      </c>
      <c r="C44" s="20">
        <f t="shared" si="49"/>
        <v>7709</v>
      </c>
      <c r="D44" s="15" t="str">
        <f t="shared" si="50"/>
        <v/>
      </c>
      <c r="E44" s="357"/>
      <c r="F44" s="15" t="str">
        <f t="shared" si="27"/>
        <v/>
      </c>
      <c r="G44" s="357"/>
      <c r="H44" s="15" t="str">
        <f t="shared" si="28"/>
        <v/>
      </c>
      <c r="I44" s="357"/>
      <c r="J44" s="15">
        <f t="shared" si="29"/>
        <v>177</v>
      </c>
      <c r="K44" s="357"/>
      <c r="L44" s="15">
        <f t="shared" si="30"/>
        <v>180</v>
      </c>
      <c r="M44" s="357"/>
      <c r="N44" s="15">
        <f t="shared" si="31"/>
        <v>577</v>
      </c>
      <c r="O44" s="357"/>
      <c r="R44" s="360"/>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3">
      <c r="A45" s="379"/>
      <c r="B45" s="21" t="str">
        <f t="shared" si="48"/>
        <v/>
      </c>
      <c r="C45" s="22" t="str">
        <f t="shared" si="49"/>
        <v/>
      </c>
      <c r="D45" s="9" t="str">
        <f t="shared" si="50"/>
        <v/>
      </c>
      <c r="E45" s="358"/>
      <c r="F45" s="9" t="str">
        <f t="shared" si="27"/>
        <v/>
      </c>
      <c r="G45" s="358"/>
      <c r="H45" s="9" t="str">
        <f t="shared" si="28"/>
        <v/>
      </c>
      <c r="I45" s="358"/>
      <c r="J45" s="9" t="str">
        <f t="shared" si="29"/>
        <v/>
      </c>
      <c r="K45" s="358"/>
      <c r="L45" s="9" t="str">
        <f t="shared" si="30"/>
        <v/>
      </c>
      <c r="M45" s="358"/>
      <c r="N45" s="9" t="str">
        <f t="shared" si="31"/>
        <v/>
      </c>
      <c r="O45" s="358"/>
      <c r="R45" s="361"/>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5">
      <c r="A46" s="377" t="s">
        <v>11</v>
      </c>
      <c r="B46" s="17" t="str">
        <f>IF(S46=0,"",S46)</f>
        <v>Jenke, Sandra</v>
      </c>
      <c r="C46" s="18">
        <f t="shared" si="49"/>
        <v>38607</v>
      </c>
      <c r="D46" s="14">
        <f t="shared" si="50"/>
        <v>154</v>
      </c>
      <c r="E46" s="356">
        <f>IF(V46="","",V46)</f>
        <v>0</v>
      </c>
      <c r="F46" s="14">
        <f t="shared" si="27"/>
        <v>137</v>
      </c>
      <c r="G46" s="356">
        <f>IF(X46="","",X46)</f>
        <v>0</v>
      </c>
      <c r="H46" s="14">
        <f t="shared" si="28"/>
        <v>151</v>
      </c>
      <c r="I46" s="356">
        <f>IF(Z46="","",Z46)</f>
        <v>0</v>
      </c>
      <c r="J46" s="14">
        <f t="shared" si="29"/>
        <v>190</v>
      </c>
      <c r="K46" s="356">
        <f>IF(AB46="","",AB46)</f>
        <v>1</v>
      </c>
      <c r="L46" s="14">
        <f t="shared" si="30"/>
        <v>145</v>
      </c>
      <c r="M46" s="356">
        <f>IF(AD46="","",AD46)</f>
        <v>0</v>
      </c>
      <c r="N46" s="14">
        <f t="shared" si="31"/>
        <v>954</v>
      </c>
      <c r="O46" s="356">
        <f>IF(AH46="","",AH46)</f>
        <v>2</v>
      </c>
      <c r="R46" s="359"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5">
      <c r="A47" s="378"/>
      <c r="B47" s="19" t="str">
        <f>IF(S47=0,"",S47)</f>
        <v/>
      </c>
      <c r="C47" s="20" t="str">
        <f t="shared" si="49"/>
        <v/>
      </c>
      <c r="D47" s="15" t="str">
        <f t="shared" si="50"/>
        <v/>
      </c>
      <c r="E47" s="357"/>
      <c r="F47" s="15" t="str">
        <f t="shared" si="27"/>
        <v/>
      </c>
      <c r="G47" s="357"/>
      <c r="H47" s="15" t="str">
        <f t="shared" si="28"/>
        <v/>
      </c>
      <c r="I47" s="357"/>
      <c r="J47" s="15" t="str">
        <f t="shared" si="29"/>
        <v/>
      </c>
      <c r="K47" s="357"/>
      <c r="L47" s="15" t="str">
        <f t="shared" si="30"/>
        <v/>
      </c>
      <c r="M47" s="357"/>
      <c r="N47" s="15" t="str">
        <f t="shared" si="31"/>
        <v/>
      </c>
      <c r="O47" s="357"/>
      <c r="R47" s="360"/>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3">
      <c r="A48" s="379"/>
      <c r="B48" s="21" t="str">
        <f>IF(S48=0,"",S48)</f>
        <v/>
      </c>
      <c r="C48" s="22" t="str">
        <f t="shared" si="49"/>
        <v/>
      </c>
      <c r="D48" s="9" t="str">
        <f t="shared" si="50"/>
        <v/>
      </c>
      <c r="E48" s="358"/>
      <c r="F48" s="9" t="str">
        <f t="shared" si="27"/>
        <v/>
      </c>
      <c r="G48" s="358"/>
      <c r="H48" s="9" t="str">
        <f t="shared" si="28"/>
        <v/>
      </c>
      <c r="I48" s="358"/>
      <c r="J48" s="9" t="str">
        <f t="shared" si="29"/>
        <v/>
      </c>
      <c r="K48" s="358"/>
      <c r="L48" s="9" t="str">
        <f t="shared" si="30"/>
        <v/>
      </c>
      <c r="M48" s="358"/>
      <c r="N48" s="9" t="str">
        <f t="shared" si="31"/>
        <v/>
      </c>
      <c r="O48" s="358"/>
      <c r="R48" s="361"/>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B59" si="53">IF(S52=0,"",S52)</f>
        <v>Gegner-Nr.:</v>
      </c>
      <c r="C52" s="5" t="str">
        <f t="shared" ref="C52:C59" si="54">IF(T52=0,"",T52)</f>
        <v>&gt;&gt;&gt;&gt;</v>
      </c>
      <c r="D52" s="354">
        <f t="shared" ref="D52:M54" si="55">IF(U52=0,"",U52)</f>
        <v>1</v>
      </c>
      <c r="E52" s="354" t="str">
        <f t="shared" si="55"/>
        <v/>
      </c>
      <c r="F52" s="354">
        <f t="shared" si="55"/>
        <v>1</v>
      </c>
      <c r="G52" s="354" t="str">
        <f t="shared" si="55"/>
        <v/>
      </c>
      <c r="H52" s="354">
        <f t="shared" si="55"/>
        <v>1</v>
      </c>
      <c r="I52" s="354" t="str">
        <f t="shared" si="55"/>
        <v/>
      </c>
      <c r="J52" s="354">
        <f t="shared" si="55"/>
        <v>1</v>
      </c>
      <c r="K52" s="354" t="str">
        <f t="shared" si="55"/>
        <v/>
      </c>
      <c r="L52" s="354">
        <f t="shared" si="55"/>
        <v>1</v>
      </c>
      <c r="M52" s="354" t="str">
        <f t="shared" si="55"/>
        <v/>
      </c>
      <c r="N52" s="355"/>
      <c r="O52" s="355"/>
      <c r="S52" s="13" t="s">
        <v>1786</v>
      </c>
      <c r="T52" s="5" t="s">
        <v>1787</v>
      </c>
      <c r="U52" s="373">
        <f>VLOOKUP($S32,Schlüssel!$A$5:$K$10,3)</f>
        <v>1</v>
      </c>
      <c r="V52" s="374"/>
      <c r="W52" s="373">
        <f>VLOOKUP($S32,Schlüssel!$A$5:$K$10,4)</f>
        <v>1</v>
      </c>
      <c r="X52" s="374"/>
      <c r="Y52" s="373">
        <f>VLOOKUP($S32,Schlüssel!$A$5:$K$10,5)</f>
        <v>1</v>
      </c>
      <c r="Z52" s="374"/>
      <c r="AA52" s="373">
        <f>VLOOKUP($S32,Schlüssel!$A$5:$K$10,6)</f>
        <v>1</v>
      </c>
      <c r="AB52" s="374"/>
      <c r="AC52" s="373">
        <f>VLOOKUP($S32,Schlüssel!$A$5:$K$10,7)</f>
        <v>1</v>
      </c>
      <c r="AD52" s="374"/>
      <c r="AE52" s="373">
        <f>VLOOKUP($S32,Schlüssel!$A$5:$K$10,8)</f>
        <v>1</v>
      </c>
      <c r="AF52" s="374"/>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3"/>
        <v/>
      </c>
      <c r="C53" s="1" t="str">
        <f t="shared" si="54"/>
        <v/>
      </c>
      <c r="D53" s="351" t="str">
        <f t="shared" si="55"/>
        <v>Kleeblatt Fürth</v>
      </c>
      <c r="E53" s="352" t="str">
        <f t="shared" si="55"/>
        <v/>
      </c>
      <c r="F53" s="351" t="str">
        <f t="shared" si="55"/>
        <v>Kleeblatt Fürth</v>
      </c>
      <c r="G53" s="352" t="str">
        <f t="shared" si="55"/>
        <v/>
      </c>
      <c r="H53" s="351" t="str">
        <f t="shared" si="55"/>
        <v>Kleeblatt Fürth</v>
      </c>
      <c r="I53" s="352" t="str">
        <f t="shared" si="55"/>
        <v/>
      </c>
      <c r="J53" s="351" t="str">
        <f t="shared" si="55"/>
        <v>Kleeblatt Fürth</v>
      </c>
      <c r="K53" s="352" t="str">
        <f t="shared" si="55"/>
        <v/>
      </c>
      <c r="L53" s="351" t="str">
        <f t="shared" si="55"/>
        <v>Kleeblatt Fürth</v>
      </c>
      <c r="M53" s="352" t="str">
        <f t="shared" si="55"/>
        <v/>
      </c>
      <c r="N53" s="353"/>
      <c r="O53" s="353"/>
      <c r="S53" s="4"/>
      <c r="T53" s="1"/>
      <c r="U53" s="351" t="str">
        <f>VLOOKUP(U52,Schlüssel!$A$5:$K$10,2)</f>
        <v>Kleeblatt Fürth</v>
      </c>
      <c r="V53" s="352"/>
      <c r="W53" s="351" t="str">
        <f>VLOOKUP(W52,Schlüssel!$A$5:$K$10,2)</f>
        <v>Kleeblatt Fürth</v>
      </c>
      <c r="X53" s="352"/>
      <c r="Y53" s="351" t="str">
        <f>VLOOKUP(Y52,Schlüssel!$A$5:$K$10,2)</f>
        <v>Kleeblatt Fürth</v>
      </c>
      <c r="Z53" s="352"/>
      <c r="AA53" s="351" t="str">
        <f>VLOOKUP(AA52,Schlüssel!$A$5:$K$10,2)</f>
        <v>Kleeblatt Fürth</v>
      </c>
      <c r="AB53" s="352"/>
      <c r="AC53" s="351" t="str">
        <f>VLOOKUP(AC52,Schlüssel!$A$5:$K$10,2)</f>
        <v>Kleeblatt Fürth</v>
      </c>
      <c r="AD53" s="352"/>
      <c r="AE53" s="351" t="str">
        <f>VLOOKUP(AE52,Schlüssel!$A$5:$K$10,2)</f>
        <v>Kleeblatt Fürth</v>
      </c>
      <c r="AF53" s="35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3"/>
        <v/>
      </c>
      <c r="C54" s="1" t="str">
        <f t="shared" si="54"/>
        <v/>
      </c>
      <c r="D54" s="350" t="str">
        <f t="shared" si="55"/>
        <v/>
      </c>
      <c r="E54" s="350" t="str">
        <f t="shared" si="55"/>
        <v/>
      </c>
      <c r="F54" s="350" t="str">
        <f t="shared" si="55"/>
        <v/>
      </c>
      <c r="G54" s="350" t="str">
        <f t="shared" si="55"/>
        <v/>
      </c>
      <c r="H54" s="350" t="str">
        <f t="shared" si="55"/>
        <v/>
      </c>
      <c r="I54" s="350" t="str">
        <f t="shared" si="55"/>
        <v/>
      </c>
      <c r="J54" s="350" t="str">
        <f t="shared" si="55"/>
        <v/>
      </c>
      <c r="K54" s="350" t="str">
        <f t="shared" si="55"/>
        <v/>
      </c>
      <c r="L54" s="350" t="str">
        <f t="shared" si="55"/>
        <v/>
      </c>
      <c r="M54" s="350" t="str">
        <f t="shared" si="55"/>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5" t="str">
        <f t="shared" si="53"/>
        <v>Spieler 1</v>
      </c>
      <c r="C55" s="376" t="str">
        <f t="shared" si="54"/>
        <v/>
      </c>
      <c r="D55" s="348">
        <f>IF(U55=301,"",U55)</f>
        <v>168</v>
      </c>
      <c r="E55" s="348" t="str">
        <f>IF(V55=0,"",V55)</f>
        <v/>
      </c>
      <c r="F55" s="348">
        <f>IF(W55=301,"",W55)</f>
        <v>111</v>
      </c>
      <c r="G55" s="348" t="str">
        <f>IF(X55=0,"",X55)</f>
        <v/>
      </c>
      <c r="H55" s="348">
        <f>IF(Y55=301,"",Y55)</f>
        <v>203</v>
      </c>
      <c r="I55" s="348" t="str">
        <f>IF(Z55=0,"",Z55)</f>
        <v/>
      </c>
      <c r="J55" s="348">
        <f>IF(AA55=301,"",AA55)</f>
        <v>113</v>
      </c>
      <c r="K55" s="348" t="str">
        <f>IF(AB55=0,"",AB55)</f>
        <v/>
      </c>
      <c r="L55" s="348">
        <f>IF(AC55=301,"",AC55)</f>
        <v>179</v>
      </c>
      <c r="M55" s="348" t="str">
        <f>IF(AD55=0,"",AD55)</f>
        <v/>
      </c>
      <c r="N55" s="349"/>
      <c r="O55" s="349"/>
      <c r="S55" s="35" t="s">
        <v>0</v>
      </c>
      <c r="T55" s="36"/>
      <c r="U55" s="371">
        <f>ABS(INDEX(U:U,MATCH(U52,$S:$S,0)+5)+INDEX(U:U,MATCH(U52,$S:$S,0)+6)+INDEX(U:U,MATCH(U52,$S:$S,0)+7))</f>
        <v>168</v>
      </c>
      <c r="V55" s="372"/>
      <c r="W55" s="371">
        <f>ABS(INDEX(W:W,MATCH(W52,$S:$S,0)+5)+INDEX(W:W,MATCH(W52,$S:$S,0)+6)+INDEX(W:W,MATCH(W52,$S:$S,0)+7))</f>
        <v>111</v>
      </c>
      <c r="X55" s="372"/>
      <c r="Y55" s="371">
        <f>ABS(INDEX(Y:Y,MATCH(Y52,$S:$S,0)+5)+INDEX(Y:Y,MATCH(Y52,$S:$S,0)+6)+INDEX(Y:Y,MATCH(Y52,$S:$S,0)+7))</f>
        <v>203</v>
      </c>
      <c r="Z55" s="372"/>
      <c r="AA55" s="371">
        <f>ABS(INDEX(AA:AA,MATCH(AA52,$S:$S,0)+5)+INDEX(AA:AA,MATCH(AA52,$S:$S,0)+6)+INDEX(AA:AA,MATCH(AA52,$S:$S,0)+7))</f>
        <v>113</v>
      </c>
      <c r="AB55" s="372"/>
      <c r="AC55" s="371">
        <f>ABS(INDEX(AC:AC,MATCH(AC52,$S:$S,0)+5)+INDEX(AC:AC,MATCH(AC52,$S:$S,0)+6)+INDEX(AC:AC,MATCH(AC52,$S:$S,0)+7))</f>
        <v>179</v>
      </c>
      <c r="AD55" s="372"/>
      <c r="AE55" s="371">
        <f>ABS(INDEX(AE:AE,MATCH(AE52,$S:$S,0)+5)+INDEX(AE:AE,MATCH(AE52,$S:$S,0)+6)+INDEX(AE:AE,MATCH(AE52,$S:$S,0)+7))</f>
        <v>183</v>
      </c>
      <c r="AF55" s="372"/>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5" t="str">
        <f t="shared" si="53"/>
        <v>Spieler 2</v>
      </c>
      <c r="C56" s="376" t="str">
        <f t="shared" si="54"/>
        <v/>
      </c>
      <c r="D56" s="348">
        <f>IF(U56=301,"",U56)</f>
        <v>160</v>
      </c>
      <c r="E56" s="348" t="str">
        <f>IF(V56=0,"",V56)</f>
        <v/>
      </c>
      <c r="F56" s="348">
        <f>IF(W56=301,"",W56)</f>
        <v>144</v>
      </c>
      <c r="G56" s="348" t="str">
        <f>IF(X56=0,"",X56)</f>
        <v/>
      </c>
      <c r="H56" s="348">
        <f>IF(Y56=301,"",Y56)</f>
        <v>138</v>
      </c>
      <c r="I56" s="348" t="str">
        <f>IF(Z56=0,"",Z56)</f>
        <v/>
      </c>
      <c r="J56" s="348">
        <f>IF(AA56=301,"",AA56)</f>
        <v>133</v>
      </c>
      <c r="K56" s="348" t="str">
        <f>IF(AB56=0,"",AB56)</f>
        <v/>
      </c>
      <c r="L56" s="348">
        <f>IF(AC56=301,"",AC56)</f>
        <v>129</v>
      </c>
      <c r="M56" s="348" t="str">
        <f>IF(AD56=0,"",AD56)</f>
        <v/>
      </c>
      <c r="N56" s="349"/>
      <c r="O56" s="349"/>
      <c r="S56" s="35" t="s">
        <v>2</v>
      </c>
      <c r="T56" s="36"/>
      <c r="U56" s="369">
        <f>ABS(INDEX(U:U,MATCH(U52,$S:$S,0)+8)+INDEX(U:U,MATCH(U52,$S:$S,0)+9)+INDEX(U:U,MATCH(U52,$S:$S,0)+10))</f>
        <v>160</v>
      </c>
      <c r="V56" s="370"/>
      <c r="W56" s="369">
        <f>ABS(INDEX(W:W,MATCH(W52,$S:$S,0)+8)+INDEX(W:W,MATCH(W52,$S:$S,0)+9)+INDEX(W:W,MATCH(W52,$S:$S,0)+10))</f>
        <v>144</v>
      </c>
      <c r="X56" s="370"/>
      <c r="Y56" s="369">
        <f>ABS(INDEX(Y:Y,MATCH(Y52,$S:$S,0)+8)+INDEX(Y:Y,MATCH(Y52,$S:$S,0)+9)+INDEX(Y:Y,MATCH(Y52,$S:$S,0)+10))</f>
        <v>138</v>
      </c>
      <c r="Z56" s="370"/>
      <c r="AA56" s="369">
        <f>ABS(INDEX(AA:AA,MATCH(AA52,$S:$S,0)+8)+INDEX(AA:AA,MATCH(AA52,$S:$S,0)+9)+INDEX(AA:AA,MATCH(AA52,$S:$S,0)+10))</f>
        <v>133</v>
      </c>
      <c r="AB56" s="370"/>
      <c r="AC56" s="369">
        <f>ABS(INDEX(AC:AC,MATCH(AC52,$S:$S,0)+8)+INDEX(AC:AC,MATCH(AC52,$S:$S,0)+9)+INDEX(AC:AC,MATCH(AC52,$S:$S,0)+10))</f>
        <v>129</v>
      </c>
      <c r="AD56" s="370"/>
      <c r="AE56" s="369">
        <f>ABS(INDEX(AE:AE,MATCH(AE52,$S:$S,0)+8)+INDEX(AE:AE,MATCH(AE52,$S:$S,0)+9)+INDEX(AE:AE,MATCH(AE52,$S:$S,0)+10))</f>
        <v>144</v>
      </c>
      <c r="AF56" s="370"/>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5" t="str">
        <f t="shared" si="53"/>
        <v>Spieler 3</v>
      </c>
      <c r="C57" s="376" t="str">
        <f t="shared" si="54"/>
        <v/>
      </c>
      <c r="D57" s="348">
        <f>IF(U57=301,"",U57)</f>
        <v>133</v>
      </c>
      <c r="E57" s="348" t="str">
        <f>IF(V57=0,"",V57)</f>
        <v/>
      </c>
      <c r="F57" s="348">
        <f>IF(W57=301,"",W57)</f>
        <v>205</v>
      </c>
      <c r="G57" s="348" t="str">
        <f>IF(X57=0,"",X57)</f>
        <v/>
      </c>
      <c r="H57" s="348">
        <f>IF(Y57=301,"",Y57)</f>
        <v>139</v>
      </c>
      <c r="I57" s="348" t="str">
        <f>IF(Z57=0,"",Z57)</f>
        <v/>
      </c>
      <c r="J57" s="348">
        <f>IF(AA57=301,"",AA57)</f>
        <v>117</v>
      </c>
      <c r="K57" s="348" t="str">
        <f>IF(AB57=0,"",AB57)</f>
        <v/>
      </c>
      <c r="L57" s="348">
        <f>IF(AC57=301,"",AC57)</f>
        <v>127</v>
      </c>
      <c r="M57" s="348" t="str">
        <f>IF(AD57=0,"",AD57)</f>
        <v/>
      </c>
      <c r="N57" s="349"/>
      <c r="O57" s="349"/>
      <c r="S57" s="35" t="s">
        <v>3</v>
      </c>
      <c r="T57" s="36"/>
      <c r="U57" s="369">
        <f>ABS(INDEX(U:U,MATCH(U52,$S:$S,0)+11)+INDEX(U:U,MATCH(U52,$S:$S,0)+12)+INDEX(U:U,MATCH(U52,$S:$S,0)+13))</f>
        <v>133</v>
      </c>
      <c r="V57" s="370"/>
      <c r="W57" s="369">
        <f>ABS(INDEX(W:W,MATCH(W52,$S:$S,0)+11)+INDEX(W:W,MATCH(W52,$S:$S,0)+12)+INDEX(W:W,MATCH(W52,$S:$S,0)+13))</f>
        <v>205</v>
      </c>
      <c r="X57" s="370"/>
      <c r="Y57" s="369">
        <f>ABS(INDEX(Y:Y,MATCH(Y52,$S:$S,0)+11)+INDEX(Y:Y,MATCH(Y52,$S:$S,0)+12)+INDEX(Y:Y,MATCH(Y52,$S:$S,0)+13))</f>
        <v>139</v>
      </c>
      <c r="Z57" s="370"/>
      <c r="AA57" s="369">
        <f>ABS(INDEX(AA:AA,MATCH(AA52,$S:$S,0)+11)+INDEX(AA:AA,MATCH(AA52,$S:$S,0)+12)+INDEX(AA:AA,MATCH(AA52,$S:$S,0)+13))</f>
        <v>117</v>
      </c>
      <c r="AB57" s="370"/>
      <c r="AC57" s="369">
        <f>ABS(INDEX(AC:AC,MATCH(AC52,$S:$S,0)+11)+INDEX(AC:AC,MATCH(AC52,$S:$S,0)+12)+INDEX(AC:AC,MATCH(AC52,$S:$S,0)+13))</f>
        <v>127</v>
      </c>
      <c r="AD57" s="370"/>
      <c r="AE57" s="369">
        <f>ABS(INDEX(AE:AE,MATCH(AE52,$S:$S,0)+11)+INDEX(AE:AE,MATCH(AE52,$S:$S,0)+12)+INDEX(AE:AE,MATCH(AE52,$S:$S,0)+13))</f>
        <v>151</v>
      </c>
      <c r="AF57" s="370"/>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5" t="str">
        <f t="shared" si="53"/>
        <v>Spieler 4</v>
      </c>
      <c r="C58" s="376" t="str">
        <f t="shared" si="54"/>
        <v/>
      </c>
      <c r="D58" s="348">
        <f>IF(U58=301,"",U58)</f>
        <v>157</v>
      </c>
      <c r="E58" s="348" t="str">
        <f>IF(V58=0,"",V58)</f>
        <v/>
      </c>
      <c r="F58" s="348">
        <f>IF(W58=301,"",W58)</f>
        <v>151</v>
      </c>
      <c r="G58" s="348" t="str">
        <f>IF(X58=0,"",X58)</f>
        <v/>
      </c>
      <c r="H58" s="348">
        <f>IF(Y58=301,"",Y58)</f>
        <v>179</v>
      </c>
      <c r="I58" s="348" t="str">
        <f>IF(Z58=0,"",Z58)</f>
        <v/>
      </c>
      <c r="J58" s="348">
        <f>IF(AA58=301,"",AA58)</f>
        <v>156</v>
      </c>
      <c r="K58" s="348" t="str">
        <f>IF(AB58=0,"",AB58)</f>
        <v/>
      </c>
      <c r="L58" s="348">
        <f>IF(AC58=301,"",AC58)</f>
        <v>167</v>
      </c>
      <c r="M58" s="348" t="str">
        <f>IF(AD58=0,"",AD58)</f>
        <v/>
      </c>
      <c r="N58" s="349"/>
      <c r="O58" s="349"/>
      <c r="S58" s="35" t="s">
        <v>11</v>
      </c>
      <c r="T58" s="36"/>
      <c r="U58" s="369">
        <f>ABS(INDEX(U:U,MATCH(U52,$S:$S,0)+14)+INDEX(U:U,MATCH(U52,$S:$S,0)+15)+INDEX(U:U,MATCH(U52,$S:$S,0)+16))</f>
        <v>157</v>
      </c>
      <c r="V58" s="370"/>
      <c r="W58" s="369">
        <f>ABS(INDEX(W:W,MATCH(W52,$S:$S,0)+14)+INDEX(W:W,MATCH(W52,$S:$S,0)+15)+INDEX(W:W,MATCH(W52,$S:$S,0)+16))</f>
        <v>151</v>
      </c>
      <c r="X58" s="370"/>
      <c r="Y58" s="369">
        <f>ABS(INDEX(Y:Y,MATCH(Y52,$S:$S,0)+14)+INDEX(Y:Y,MATCH(Y52,$S:$S,0)+15)+INDEX(Y:Y,MATCH(Y52,$S:$S,0)+16))</f>
        <v>179</v>
      </c>
      <c r="Z58" s="370"/>
      <c r="AA58" s="369">
        <f>ABS(INDEX(AA:AA,MATCH(AA52,$S:$S,0)+14)+INDEX(AA:AA,MATCH(AA52,$S:$S,0)+15)+INDEX(AA:AA,MATCH(AA52,$S:$S,0)+16))</f>
        <v>156</v>
      </c>
      <c r="AB58" s="370"/>
      <c r="AC58" s="369">
        <f>ABS(INDEX(AC:AC,MATCH(AC52,$S:$S,0)+14)+INDEX(AC:AC,MATCH(AC52,$S:$S,0)+15)+INDEX(AC:AC,MATCH(AC52,$S:$S,0)+16))</f>
        <v>167</v>
      </c>
      <c r="AD58" s="370"/>
      <c r="AE58" s="369">
        <f>ABS(INDEX(AE:AE,MATCH(AE52,$S:$S,0)+14)+INDEX(AE:AE,MATCH(AE52,$S:$S,0)+15)+INDEX(AE:AE,MATCH(AE52,$S:$S,0)+16))</f>
        <v>166</v>
      </c>
      <c r="AF58" s="370"/>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3" t="str">
        <f t="shared" si="53"/>
        <v>Gesamt</v>
      </c>
      <c r="C59" s="364" t="str">
        <f t="shared" si="54"/>
        <v/>
      </c>
      <c r="D59" s="347">
        <f>IF(U59=1505,"",U59)</f>
        <v>618</v>
      </c>
      <c r="E59" s="347" t="str">
        <f>IF(V59=0,"",V59)</f>
        <v/>
      </c>
      <c r="F59" s="347">
        <f>IF(W59=1505,"",W59)</f>
        <v>611</v>
      </c>
      <c r="G59" s="347" t="str">
        <f>IF(X59=0,"",X59)</f>
        <v/>
      </c>
      <c r="H59" s="347">
        <f>IF(Y59=1505,"",Y59)</f>
        <v>659</v>
      </c>
      <c r="I59" s="347" t="str">
        <f>IF(Z59=0,"",Z59)</f>
        <v/>
      </c>
      <c r="J59" s="347">
        <f>IF(AA59=1505,"",AA59)</f>
        <v>519</v>
      </c>
      <c r="K59" s="347" t="str">
        <f>IF(AB59=0,"",AB59)</f>
        <v/>
      </c>
      <c r="L59" s="347">
        <f>IF(AC59=1505,"",AC59)</f>
        <v>602</v>
      </c>
      <c r="M59" s="347" t="str">
        <f>IF(AD59=0,"",AD59)</f>
        <v/>
      </c>
      <c r="N59" s="312"/>
      <c r="O59" s="312"/>
      <c r="S59" s="37" t="s">
        <v>1788</v>
      </c>
      <c r="T59" s="38"/>
      <c r="U59" s="363">
        <f>SUM(U55:U58)</f>
        <v>618</v>
      </c>
      <c r="V59" s="364"/>
      <c r="W59" s="363">
        <f>SUM(W55:W58)</f>
        <v>611</v>
      </c>
      <c r="X59" s="364"/>
      <c r="Y59" s="363">
        <f>SUM(Y55:Y58)</f>
        <v>659</v>
      </c>
      <c r="Z59" s="364"/>
      <c r="AA59" s="363">
        <f>SUM(AA55:AA58)</f>
        <v>519</v>
      </c>
      <c r="AB59" s="364"/>
      <c r="AC59" s="363">
        <f>SUM(AC55:AC58)</f>
        <v>602</v>
      </c>
      <c r="AD59" s="364"/>
      <c r="AE59" s="363">
        <f>SUM(AE55:AE58)</f>
        <v>644</v>
      </c>
      <c r="AF59" s="364"/>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80" t="str">
        <f>AD61</f>
        <v>29.09.</v>
      </c>
      <c r="N61" s="380"/>
      <c r="O61" s="380"/>
      <c r="P61" s="381"/>
      <c r="Q61" s="381"/>
      <c r="R61" s="381"/>
      <c r="S61" s="7" t="s">
        <v>1798</v>
      </c>
      <c r="T61" s="25"/>
      <c r="U61" s="30" t="s">
        <v>1782</v>
      </c>
      <c r="V61" s="76" t="str">
        <f>Schlüssel!$C$1</f>
        <v>Landesliga Nord Frauen</v>
      </c>
      <c r="X61" s="25"/>
      <c r="Y61" s="25"/>
      <c r="Z61" s="25"/>
      <c r="AA61" s="25"/>
      <c r="AC61" s="29"/>
      <c r="AD61" s="362" t="str">
        <f>Schlüssel!$M$1</f>
        <v>29.09.</v>
      </c>
      <c r="AE61" s="362"/>
      <c r="AF61" s="362"/>
      <c r="AG61" s="362"/>
      <c r="AH61" s="362"/>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5">
      <c r="B65" s="40" t="s">
        <v>1</v>
      </c>
      <c r="C65" s="41"/>
      <c r="D65" s="363" t="s">
        <v>1789</v>
      </c>
      <c r="E65" s="364"/>
      <c r="F65" s="363" t="s">
        <v>1790</v>
      </c>
      <c r="G65" s="364"/>
      <c r="H65" s="363" t="s">
        <v>1791</v>
      </c>
      <c r="I65" s="364"/>
      <c r="J65" s="363" t="s">
        <v>1792</v>
      </c>
      <c r="K65" s="364"/>
      <c r="L65" s="363" t="s">
        <v>1793</v>
      </c>
      <c r="M65" s="364"/>
      <c r="N65" s="365" t="s">
        <v>1788</v>
      </c>
      <c r="O65" s="366"/>
      <c r="S65" s="40" t="s">
        <v>1</v>
      </c>
      <c r="T65" s="41"/>
      <c r="U65" s="363" t="s">
        <v>1789</v>
      </c>
      <c r="V65" s="364"/>
      <c r="W65" s="363" t="s">
        <v>1790</v>
      </c>
      <c r="X65" s="364"/>
      <c r="Y65" s="363" t="s">
        <v>1791</v>
      </c>
      <c r="Z65" s="364"/>
      <c r="AA65" s="363" t="s">
        <v>1792</v>
      </c>
      <c r="AB65" s="364"/>
      <c r="AC65" s="363" t="s">
        <v>1793</v>
      </c>
      <c r="AD65" s="368"/>
      <c r="AE65" s="363" t="s">
        <v>2088</v>
      </c>
      <c r="AF65" s="368"/>
      <c r="AG65" s="367" t="s">
        <v>1788</v>
      </c>
      <c r="AH65" s="36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7" t="s">
        <v>0</v>
      </c>
      <c r="B67" s="17" t="str">
        <f>IF(S67=0,"",S67)</f>
        <v/>
      </c>
      <c r="C67" s="18" t="str">
        <f>IF(T67=0,"",T67)</f>
        <v/>
      </c>
      <c r="D67" s="14" t="str">
        <f>IF(U67=0,"",U67)</f>
        <v/>
      </c>
      <c r="E67" s="356" t="e">
        <f>IF(V67="","",V67)</f>
        <v>#N/A</v>
      </c>
      <c r="F67" s="14" t="str">
        <f t="shared" ref="F67:F80" si="56">IF(W67=0,"",W67)</f>
        <v/>
      </c>
      <c r="G67" s="356" t="e">
        <f>IF(X67="","",X67)</f>
        <v>#N/A</v>
      </c>
      <c r="H67" s="14" t="str">
        <f t="shared" ref="H67:H80" si="57">IF(Y67=0,"",Y67)</f>
        <v/>
      </c>
      <c r="I67" s="356" t="e">
        <f>IF(Z67="","",Z67)</f>
        <v>#N/A</v>
      </c>
      <c r="J67" s="14" t="str">
        <f t="shared" ref="J67:J80" si="58">IF(AA67=0,"",AA67)</f>
        <v/>
      </c>
      <c r="K67" s="356" t="e">
        <f>IF(AB67="","",AB67)</f>
        <v>#N/A</v>
      </c>
      <c r="L67" s="14" t="str">
        <f t="shared" ref="L67:L80" si="59">IF(AC67=0,"",AC67)</f>
        <v/>
      </c>
      <c r="M67" s="356" t="e">
        <f>IF(AD67="","",AD67)</f>
        <v>#N/A</v>
      </c>
      <c r="N67" s="14" t="str">
        <f t="shared" ref="N67:N80" si="60">IF(AG67=0,"",AG67)</f>
        <v/>
      </c>
      <c r="O67" s="356" t="e">
        <f>IF(AH67="","",AH67)</f>
        <v>#N/A</v>
      </c>
      <c r="R67" s="359"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5">
      <c r="A68" s="378"/>
      <c r="B68" s="19" t="str">
        <f t="shared" ref="B68:B75" si="77">IF(S68=0,"",S68)</f>
        <v/>
      </c>
      <c r="C68" s="20" t="str">
        <f t="shared" ref="C68:C80" si="78">IF(T68=0,"",T68)</f>
        <v/>
      </c>
      <c r="D68" s="15" t="str">
        <f t="shared" ref="D68:D80" si="79">IF(U68=0,"",U68)</f>
        <v/>
      </c>
      <c r="E68" s="357"/>
      <c r="F68" s="15" t="str">
        <f t="shared" si="56"/>
        <v/>
      </c>
      <c r="G68" s="357"/>
      <c r="H68" s="15" t="str">
        <f t="shared" si="57"/>
        <v/>
      </c>
      <c r="I68" s="357"/>
      <c r="J68" s="15" t="str">
        <f t="shared" si="58"/>
        <v/>
      </c>
      <c r="K68" s="357"/>
      <c r="L68" s="15" t="str">
        <f t="shared" si="59"/>
        <v/>
      </c>
      <c r="M68" s="357"/>
      <c r="N68" s="15" t="str">
        <f t="shared" si="60"/>
        <v/>
      </c>
      <c r="O68" s="357"/>
      <c r="R68" s="360"/>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3">
      <c r="A69" s="379"/>
      <c r="B69" s="21" t="str">
        <f t="shared" si="77"/>
        <v/>
      </c>
      <c r="C69" s="22" t="str">
        <f t="shared" si="78"/>
        <v/>
      </c>
      <c r="D69" s="9" t="str">
        <f t="shared" si="79"/>
        <v/>
      </c>
      <c r="E69" s="358"/>
      <c r="F69" s="9" t="str">
        <f t="shared" si="56"/>
        <v/>
      </c>
      <c r="G69" s="358"/>
      <c r="H69" s="9" t="str">
        <f t="shared" si="57"/>
        <v/>
      </c>
      <c r="I69" s="358"/>
      <c r="J69" s="9" t="str">
        <f t="shared" si="58"/>
        <v/>
      </c>
      <c r="K69" s="358"/>
      <c r="L69" s="9" t="str">
        <f t="shared" si="59"/>
        <v/>
      </c>
      <c r="M69" s="358"/>
      <c r="N69" s="9" t="str">
        <f t="shared" si="60"/>
        <v/>
      </c>
      <c r="O69" s="358"/>
      <c r="R69" s="361"/>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5">
      <c r="A70" s="377" t="s">
        <v>2</v>
      </c>
      <c r="B70" s="17" t="str">
        <f t="shared" si="77"/>
        <v/>
      </c>
      <c r="C70" s="18" t="str">
        <f t="shared" si="78"/>
        <v/>
      </c>
      <c r="D70" s="14" t="str">
        <f t="shared" si="79"/>
        <v/>
      </c>
      <c r="E70" s="356" t="e">
        <f>IF(V70="","",V70)</f>
        <v>#N/A</v>
      </c>
      <c r="F70" s="14" t="str">
        <f t="shared" si="56"/>
        <v/>
      </c>
      <c r="G70" s="356" t="e">
        <f>IF(X70="","",X70)</f>
        <v>#N/A</v>
      </c>
      <c r="H70" s="14" t="str">
        <f t="shared" si="57"/>
        <v/>
      </c>
      <c r="I70" s="356" t="e">
        <f>IF(Z70="","",Z70)</f>
        <v>#N/A</v>
      </c>
      <c r="J70" s="14" t="str">
        <f t="shared" si="58"/>
        <v/>
      </c>
      <c r="K70" s="356" t="e">
        <f>IF(AB70="","",AB70)</f>
        <v>#N/A</v>
      </c>
      <c r="L70" s="14" t="str">
        <f t="shared" si="59"/>
        <v/>
      </c>
      <c r="M70" s="356" t="e">
        <f>IF(AD70="","",AD70)</f>
        <v>#N/A</v>
      </c>
      <c r="N70" s="14" t="str">
        <f t="shared" si="60"/>
        <v/>
      </c>
      <c r="O70" s="356" t="e">
        <f>IF(AH70="","",AH70)</f>
        <v>#N/A</v>
      </c>
      <c r="R70" s="359"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5">
      <c r="A71" s="378"/>
      <c r="B71" s="19" t="str">
        <f t="shared" si="77"/>
        <v/>
      </c>
      <c r="C71" s="20" t="str">
        <f t="shared" si="78"/>
        <v/>
      </c>
      <c r="D71" s="15" t="str">
        <f t="shared" si="79"/>
        <v/>
      </c>
      <c r="E71" s="357"/>
      <c r="F71" s="15" t="str">
        <f t="shared" si="56"/>
        <v/>
      </c>
      <c r="G71" s="357"/>
      <c r="H71" s="15" t="str">
        <f t="shared" si="57"/>
        <v/>
      </c>
      <c r="I71" s="357"/>
      <c r="J71" s="15" t="str">
        <f t="shared" si="58"/>
        <v/>
      </c>
      <c r="K71" s="357"/>
      <c r="L71" s="15" t="str">
        <f t="shared" si="59"/>
        <v/>
      </c>
      <c r="M71" s="357"/>
      <c r="N71" s="15" t="str">
        <f t="shared" si="60"/>
        <v/>
      </c>
      <c r="O71" s="357"/>
      <c r="R71" s="360"/>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3">
      <c r="A72" s="379"/>
      <c r="B72" s="21" t="str">
        <f t="shared" si="77"/>
        <v/>
      </c>
      <c r="C72" s="22" t="str">
        <f t="shared" si="78"/>
        <v/>
      </c>
      <c r="D72" s="9" t="str">
        <f t="shared" si="79"/>
        <v/>
      </c>
      <c r="E72" s="358"/>
      <c r="F72" s="9" t="str">
        <f t="shared" si="56"/>
        <v/>
      </c>
      <c r="G72" s="358"/>
      <c r="H72" s="9" t="str">
        <f t="shared" si="57"/>
        <v/>
      </c>
      <c r="I72" s="358"/>
      <c r="J72" s="9" t="str">
        <f t="shared" si="58"/>
        <v/>
      </c>
      <c r="K72" s="358"/>
      <c r="L72" s="9" t="str">
        <f t="shared" si="59"/>
        <v/>
      </c>
      <c r="M72" s="358"/>
      <c r="N72" s="9" t="str">
        <f t="shared" si="60"/>
        <v/>
      </c>
      <c r="O72" s="358"/>
      <c r="R72" s="361"/>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5">
      <c r="A73" s="377" t="s">
        <v>3</v>
      </c>
      <c r="B73" s="17" t="str">
        <f t="shared" si="77"/>
        <v/>
      </c>
      <c r="C73" s="18" t="str">
        <f t="shared" si="78"/>
        <v/>
      </c>
      <c r="D73" s="14" t="str">
        <f t="shared" si="79"/>
        <v/>
      </c>
      <c r="E73" s="356" t="e">
        <f>IF(V73="","",V73)</f>
        <v>#N/A</v>
      </c>
      <c r="F73" s="14" t="str">
        <f t="shared" si="56"/>
        <v/>
      </c>
      <c r="G73" s="356" t="e">
        <f>IF(X73="","",X73)</f>
        <v>#N/A</v>
      </c>
      <c r="H73" s="14" t="str">
        <f t="shared" si="57"/>
        <v/>
      </c>
      <c r="I73" s="356" t="e">
        <f>IF(Z73="","",Z73)</f>
        <v>#N/A</v>
      </c>
      <c r="J73" s="14" t="str">
        <f t="shared" si="58"/>
        <v/>
      </c>
      <c r="K73" s="356" t="e">
        <f>IF(AB73="","",AB73)</f>
        <v>#N/A</v>
      </c>
      <c r="L73" s="14" t="str">
        <f t="shared" si="59"/>
        <v/>
      </c>
      <c r="M73" s="356" t="e">
        <f>IF(AD73="","",AD73)</f>
        <v>#N/A</v>
      </c>
      <c r="N73" s="14" t="str">
        <f t="shared" si="60"/>
        <v/>
      </c>
      <c r="O73" s="356" t="e">
        <f>IF(AH73="","",AH73)</f>
        <v>#N/A</v>
      </c>
      <c r="R73" s="359"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5">
      <c r="A74" s="378"/>
      <c r="B74" s="19" t="str">
        <f t="shared" si="77"/>
        <v/>
      </c>
      <c r="C74" s="20" t="str">
        <f t="shared" si="78"/>
        <v/>
      </c>
      <c r="D74" s="15" t="str">
        <f t="shared" si="79"/>
        <v/>
      </c>
      <c r="E74" s="357"/>
      <c r="F74" s="15" t="str">
        <f t="shared" si="56"/>
        <v/>
      </c>
      <c r="G74" s="357"/>
      <c r="H74" s="15" t="str">
        <f t="shared" si="57"/>
        <v/>
      </c>
      <c r="I74" s="357"/>
      <c r="J74" s="15" t="str">
        <f t="shared" si="58"/>
        <v/>
      </c>
      <c r="K74" s="357"/>
      <c r="L74" s="15" t="str">
        <f t="shared" si="59"/>
        <v/>
      </c>
      <c r="M74" s="357"/>
      <c r="N74" s="15" t="str">
        <f t="shared" si="60"/>
        <v/>
      </c>
      <c r="O74" s="357"/>
      <c r="R74" s="360"/>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3">
      <c r="A75" s="379"/>
      <c r="B75" s="21" t="str">
        <f t="shared" si="77"/>
        <v/>
      </c>
      <c r="C75" s="22" t="str">
        <f t="shared" si="78"/>
        <v/>
      </c>
      <c r="D75" s="9" t="str">
        <f t="shared" si="79"/>
        <v/>
      </c>
      <c r="E75" s="358"/>
      <c r="F75" s="9" t="str">
        <f t="shared" si="56"/>
        <v/>
      </c>
      <c r="G75" s="358"/>
      <c r="H75" s="9" t="str">
        <f t="shared" si="57"/>
        <v/>
      </c>
      <c r="I75" s="358"/>
      <c r="J75" s="9" t="str">
        <f t="shared" si="58"/>
        <v/>
      </c>
      <c r="K75" s="358"/>
      <c r="L75" s="9" t="str">
        <f t="shared" si="59"/>
        <v/>
      </c>
      <c r="M75" s="358"/>
      <c r="N75" s="9" t="str">
        <f t="shared" si="60"/>
        <v/>
      </c>
      <c r="O75" s="358"/>
      <c r="R75" s="361"/>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5">
      <c r="A76" s="377" t="s">
        <v>11</v>
      </c>
      <c r="B76" s="17" t="str">
        <f>IF(S76=0,"",S76)</f>
        <v/>
      </c>
      <c r="C76" s="18" t="str">
        <f t="shared" si="78"/>
        <v/>
      </c>
      <c r="D76" s="14" t="str">
        <f t="shared" si="79"/>
        <v/>
      </c>
      <c r="E76" s="356" t="e">
        <f>IF(V76="","",V76)</f>
        <v>#N/A</v>
      </c>
      <c r="F76" s="14" t="str">
        <f t="shared" si="56"/>
        <v/>
      </c>
      <c r="G76" s="356" t="e">
        <f>IF(X76="","",X76)</f>
        <v>#N/A</v>
      </c>
      <c r="H76" s="14" t="str">
        <f t="shared" si="57"/>
        <v/>
      </c>
      <c r="I76" s="356" t="e">
        <f>IF(Z76="","",Z76)</f>
        <v>#N/A</v>
      </c>
      <c r="J76" s="14" t="str">
        <f t="shared" si="58"/>
        <v/>
      </c>
      <c r="K76" s="356" t="e">
        <f>IF(AB76="","",AB76)</f>
        <v>#N/A</v>
      </c>
      <c r="L76" s="14" t="str">
        <f t="shared" si="59"/>
        <v/>
      </c>
      <c r="M76" s="356" t="e">
        <f>IF(AD76="","",AD76)</f>
        <v>#N/A</v>
      </c>
      <c r="N76" s="14" t="str">
        <f t="shared" si="60"/>
        <v/>
      </c>
      <c r="O76" s="356" t="e">
        <f>IF(AH76="","",AH76)</f>
        <v>#N/A</v>
      </c>
      <c r="R76" s="359"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5">
      <c r="A77" s="378"/>
      <c r="B77" s="19" t="str">
        <f>IF(S77=0,"",S77)</f>
        <v/>
      </c>
      <c r="C77" s="20" t="str">
        <f t="shared" si="78"/>
        <v/>
      </c>
      <c r="D77" s="15" t="str">
        <f t="shared" si="79"/>
        <v/>
      </c>
      <c r="E77" s="357"/>
      <c r="F77" s="15" t="str">
        <f t="shared" si="56"/>
        <v/>
      </c>
      <c r="G77" s="357"/>
      <c r="H77" s="15" t="str">
        <f t="shared" si="57"/>
        <v/>
      </c>
      <c r="I77" s="357"/>
      <c r="J77" s="15" t="str">
        <f t="shared" si="58"/>
        <v/>
      </c>
      <c r="K77" s="357"/>
      <c r="L77" s="15" t="str">
        <f t="shared" si="59"/>
        <v/>
      </c>
      <c r="M77" s="357"/>
      <c r="N77" s="15" t="str">
        <f t="shared" si="60"/>
        <v/>
      </c>
      <c r="O77" s="357"/>
      <c r="R77" s="360"/>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3">
      <c r="A78" s="379"/>
      <c r="B78" s="21" t="str">
        <f>IF(S78=0,"",S78)</f>
        <v/>
      </c>
      <c r="C78" s="22" t="str">
        <f t="shared" si="78"/>
        <v/>
      </c>
      <c r="D78" s="9" t="str">
        <f t="shared" si="79"/>
        <v/>
      </c>
      <c r="E78" s="358"/>
      <c r="F78" s="9" t="str">
        <f t="shared" si="56"/>
        <v/>
      </c>
      <c r="G78" s="358"/>
      <c r="H78" s="9" t="str">
        <f t="shared" si="57"/>
        <v/>
      </c>
      <c r="I78" s="358"/>
      <c r="J78" s="9" t="str">
        <f t="shared" si="58"/>
        <v/>
      </c>
      <c r="K78" s="358"/>
      <c r="L78" s="9" t="str">
        <f t="shared" si="59"/>
        <v/>
      </c>
      <c r="M78" s="358"/>
      <c r="N78" s="9" t="str">
        <f t="shared" si="60"/>
        <v/>
      </c>
      <c r="O78" s="358"/>
      <c r="R78" s="361"/>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3">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B89" si="82">IF(S82=0,"",S82)</f>
        <v>Gegner-Nr.:</v>
      </c>
      <c r="C82" s="5" t="str">
        <f t="shared" ref="C82:C89" si="83">IF(T82=0,"",T82)</f>
        <v>&gt;&gt;&gt;&gt;</v>
      </c>
      <c r="D82" s="354" t="str">
        <f t="shared" ref="D82:M84" si="84">IF(U82=0,"",U82)</f>
        <v/>
      </c>
      <c r="E82" s="354" t="str">
        <f t="shared" si="84"/>
        <v/>
      </c>
      <c r="F82" s="354" t="str">
        <f t="shared" si="84"/>
        <v/>
      </c>
      <c r="G82" s="354" t="str">
        <f t="shared" si="84"/>
        <v/>
      </c>
      <c r="H82" s="354" t="str">
        <f t="shared" si="84"/>
        <v/>
      </c>
      <c r="I82" s="354" t="str">
        <f t="shared" si="84"/>
        <v/>
      </c>
      <c r="J82" s="354" t="str">
        <f t="shared" si="84"/>
        <v/>
      </c>
      <c r="K82" s="354" t="str">
        <f t="shared" si="84"/>
        <v/>
      </c>
      <c r="L82" s="354" t="str">
        <f t="shared" si="84"/>
        <v/>
      </c>
      <c r="M82" s="354" t="str">
        <f t="shared" si="84"/>
        <v/>
      </c>
      <c r="N82" s="355"/>
      <c r="O82" s="355"/>
      <c r="S82" s="13" t="s">
        <v>1786</v>
      </c>
      <c r="T82" s="5" t="s">
        <v>1787</v>
      </c>
      <c r="U82" s="373">
        <f>VLOOKUP($S62,Schlüssel!$A$5:$K$10,3)</f>
        <v>0</v>
      </c>
      <c r="V82" s="374"/>
      <c r="W82" s="373">
        <f>VLOOKUP($S62,Schlüssel!$A$5:$K$10,4)</f>
        <v>0</v>
      </c>
      <c r="X82" s="374"/>
      <c r="Y82" s="373">
        <f>VLOOKUP($S62,Schlüssel!$A$5:$K$10,5)</f>
        <v>0</v>
      </c>
      <c r="Z82" s="374"/>
      <c r="AA82" s="373">
        <f>VLOOKUP($S62,Schlüssel!$A$5:$K$10,6)</f>
        <v>0</v>
      </c>
      <c r="AB82" s="374"/>
      <c r="AC82" s="373">
        <f>VLOOKUP($S62,Schlüssel!$A$5:$K$10,7)</f>
        <v>0</v>
      </c>
      <c r="AD82" s="374"/>
      <c r="AE82" s="373">
        <f>VLOOKUP($S62,Schlüssel!$A$5:$K$10,8)</f>
        <v>0</v>
      </c>
      <c r="AF82" s="374"/>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82"/>
        <v/>
      </c>
      <c r="C83" s="1" t="str">
        <f t="shared" si="83"/>
        <v/>
      </c>
      <c r="D83" s="351" t="e">
        <f t="shared" si="84"/>
        <v>#N/A</v>
      </c>
      <c r="E83" s="352" t="str">
        <f t="shared" si="84"/>
        <v/>
      </c>
      <c r="F83" s="351" t="e">
        <f t="shared" si="84"/>
        <v>#N/A</v>
      </c>
      <c r="G83" s="352" t="str">
        <f t="shared" si="84"/>
        <v/>
      </c>
      <c r="H83" s="351" t="e">
        <f t="shared" si="84"/>
        <v>#N/A</v>
      </c>
      <c r="I83" s="352" t="str">
        <f t="shared" si="84"/>
        <v/>
      </c>
      <c r="J83" s="351" t="e">
        <f t="shared" si="84"/>
        <v>#N/A</v>
      </c>
      <c r="K83" s="352" t="str">
        <f t="shared" si="84"/>
        <v/>
      </c>
      <c r="L83" s="351" t="e">
        <f t="shared" si="84"/>
        <v>#N/A</v>
      </c>
      <c r="M83" s="352" t="str">
        <f t="shared" si="84"/>
        <v/>
      </c>
      <c r="N83" s="353"/>
      <c r="O83" s="353"/>
      <c r="S83" s="4"/>
      <c r="T83" s="1"/>
      <c r="U83" s="351" t="e">
        <f>VLOOKUP(U82,Schlüssel!$A$5:$K$10,2)</f>
        <v>#N/A</v>
      </c>
      <c r="V83" s="352"/>
      <c r="W83" s="351" t="e">
        <f>VLOOKUP(W82,Schlüssel!$A$5:$K$10,2)</f>
        <v>#N/A</v>
      </c>
      <c r="X83" s="352"/>
      <c r="Y83" s="351" t="e">
        <f>VLOOKUP(Y82,Schlüssel!$A$5:$K$10,2)</f>
        <v>#N/A</v>
      </c>
      <c r="Z83" s="352"/>
      <c r="AA83" s="351" t="e">
        <f>VLOOKUP(AA82,Schlüssel!$A$5:$K$10,2)</f>
        <v>#N/A</v>
      </c>
      <c r="AB83" s="352"/>
      <c r="AC83" s="351" t="e">
        <f>VLOOKUP(AC82,Schlüssel!$A$5:$K$10,2)</f>
        <v>#N/A</v>
      </c>
      <c r="AD83" s="352"/>
      <c r="AE83" s="351" t="e">
        <f>VLOOKUP(AE82,Schlüssel!$A$5:$K$10,2)</f>
        <v>#N/A</v>
      </c>
      <c r="AF83" s="35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82"/>
        <v/>
      </c>
      <c r="C84" s="1" t="str">
        <f t="shared" si="83"/>
        <v/>
      </c>
      <c r="D84" s="350" t="str">
        <f t="shared" si="84"/>
        <v/>
      </c>
      <c r="E84" s="350" t="str">
        <f t="shared" si="84"/>
        <v/>
      </c>
      <c r="F84" s="350" t="str">
        <f t="shared" si="84"/>
        <v/>
      </c>
      <c r="G84" s="350" t="str">
        <f t="shared" si="84"/>
        <v/>
      </c>
      <c r="H84" s="350" t="str">
        <f t="shared" si="84"/>
        <v/>
      </c>
      <c r="I84" s="350" t="str">
        <f t="shared" si="84"/>
        <v/>
      </c>
      <c r="J84" s="350" t="str">
        <f t="shared" si="84"/>
        <v/>
      </c>
      <c r="K84" s="350" t="str">
        <f t="shared" si="84"/>
        <v/>
      </c>
      <c r="L84" s="350" t="str">
        <f t="shared" si="84"/>
        <v/>
      </c>
      <c r="M84" s="350" t="str">
        <f t="shared" si="84"/>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5" t="str">
        <f t="shared" si="82"/>
        <v>Spieler 1</v>
      </c>
      <c r="C85" s="376" t="str">
        <f t="shared" si="83"/>
        <v/>
      </c>
      <c r="D85" s="348" t="e">
        <f>IF(U85=301,"",U85)</f>
        <v>#N/A</v>
      </c>
      <c r="E85" s="348" t="str">
        <f>IF(V85=0,"",V85)</f>
        <v/>
      </c>
      <c r="F85" s="348" t="e">
        <f>IF(W85=301,"",W85)</f>
        <v>#N/A</v>
      </c>
      <c r="G85" s="348" t="str">
        <f>IF(X85=0,"",X85)</f>
        <v/>
      </c>
      <c r="H85" s="348" t="e">
        <f>IF(Y85=301,"",Y85)</f>
        <v>#N/A</v>
      </c>
      <c r="I85" s="348" t="str">
        <f>IF(Z85=0,"",Z85)</f>
        <v/>
      </c>
      <c r="J85" s="348" t="e">
        <f>IF(AA85=301,"",AA85)</f>
        <v>#N/A</v>
      </c>
      <c r="K85" s="348" t="str">
        <f>IF(AB85=0,"",AB85)</f>
        <v/>
      </c>
      <c r="L85" s="348" t="e">
        <f>IF(AC85=301,"",AC85)</f>
        <v>#N/A</v>
      </c>
      <c r="M85" s="348" t="str">
        <f>IF(AD85=0,"",AD85)</f>
        <v/>
      </c>
      <c r="N85" s="349"/>
      <c r="O85" s="349"/>
      <c r="S85" s="35" t="s">
        <v>0</v>
      </c>
      <c r="T85" s="36"/>
      <c r="U85" s="371" t="e">
        <f>ABS(INDEX(U:U,MATCH(U82,$S:$S,0)+5)+INDEX(U:U,MATCH(U82,$S:$S,0)+6)+INDEX(U:U,MATCH(U82,$S:$S,0)+7))</f>
        <v>#N/A</v>
      </c>
      <c r="V85" s="372"/>
      <c r="W85" s="371" t="e">
        <f>ABS(INDEX(W:W,MATCH(W82,$S:$S,0)+5)+INDEX(W:W,MATCH(W82,$S:$S,0)+6)+INDEX(W:W,MATCH(W82,$S:$S,0)+7))</f>
        <v>#N/A</v>
      </c>
      <c r="X85" s="372"/>
      <c r="Y85" s="371" t="e">
        <f>ABS(INDEX(Y:Y,MATCH(Y82,$S:$S,0)+5)+INDEX(Y:Y,MATCH(Y82,$S:$S,0)+6)+INDEX(Y:Y,MATCH(Y82,$S:$S,0)+7))</f>
        <v>#N/A</v>
      </c>
      <c r="Z85" s="372"/>
      <c r="AA85" s="371" t="e">
        <f>ABS(INDEX(AA:AA,MATCH(AA82,$S:$S,0)+5)+INDEX(AA:AA,MATCH(AA82,$S:$S,0)+6)+INDEX(AA:AA,MATCH(AA82,$S:$S,0)+7))</f>
        <v>#N/A</v>
      </c>
      <c r="AB85" s="372"/>
      <c r="AC85" s="371" t="e">
        <f>ABS(INDEX(AC:AC,MATCH(AC82,$S:$S,0)+5)+INDEX(AC:AC,MATCH(AC82,$S:$S,0)+6)+INDEX(AC:AC,MATCH(AC82,$S:$S,0)+7))</f>
        <v>#N/A</v>
      </c>
      <c r="AD85" s="372"/>
      <c r="AE85" s="371" t="e">
        <f>ABS(INDEX(AE:AE,MATCH(AE82,$S:$S,0)+5)+INDEX(AE:AE,MATCH(AE82,$S:$S,0)+6)+INDEX(AE:AE,MATCH(AE82,$S:$S,0)+7))</f>
        <v>#N/A</v>
      </c>
      <c r="AF85" s="372"/>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5" t="str">
        <f t="shared" si="82"/>
        <v>Spieler 2</v>
      </c>
      <c r="C86" s="376" t="str">
        <f t="shared" si="83"/>
        <v/>
      </c>
      <c r="D86" s="348" t="e">
        <f>IF(U86=301,"",U86)</f>
        <v>#N/A</v>
      </c>
      <c r="E86" s="348" t="str">
        <f>IF(V86=0,"",V86)</f>
        <v/>
      </c>
      <c r="F86" s="348" t="e">
        <f>IF(W86=301,"",W86)</f>
        <v>#N/A</v>
      </c>
      <c r="G86" s="348" t="str">
        <f>IF(X86=0,"",X86)</f>
        <v/>
      </c>
      <c r="H86" s="348" t="e">
        <f>IF(Y86=301,"",Y86)</f>
        <v>#N/A</v>
      </c>
      <c r="I86" s="348" t="str">
        <f>IF(Z86=0,"",Z86)</f>
        <v/>
      </c>
      <c r="J86" s="348" t="e">
        <f>IF(AA86=301,"",AA86)</f>
        <v>#N/A</v>
      </c>
      <c r="K86" s="348" t="str">
        <f>IF(AB86=0,"",AB86)</f>
        <v/>
      </c>
      <c r="L86" s="348" t="e">
        <f>IF(AC86=301,"",AC86)</f>
        <v>#N/A</v>
      </c>
      <c r="M86" s="348" t="str">
        <f>IF(AD86=0,"",AD86)</f>
        <v/>
      </c>
      <c r="N86" s="349"/>
      <c r="O86" s="349"/>
      <c r="S86" s="35" t="s">
        <v>2</v>
      </c>
      <c r="T86" s="36"/>
      <c r="U86" s="369" t="e">
        <f>ABS(INDEX(U:U,MATCH(U82,$S:$S,0)+8)+INDEX(U:U,MATCH(U82,$S:$S,0)+9)+INDEX(U:U,MATCH(U82,$S:$S,0)+10))</f>
        <v>#N/A</v>
      </c>
      <c r="V86" s="370"/>
      <c r="W86" s="369" t="e">
        <f>ABS(INDEX(W:W,MATCH(W82,$S:$S,0)+8)+INDEX(W:W,MATCH(W82,$S:$S,0)+9)+INDEX(W:W,MATCH(W82,$S:$S,0)+10))</f>
        <v>#N/A</v>
      </c>
      <c r="X86" s="370"/>
      <c r="Y86" s="369" t="e">
        <f>ABS(INDEX(Y:Y,MATCH(Y82,$S:$S,0)+8)+INDEX(Y:Y,MATCH(Y82,$S:$S,0)+9)+INDEX(Y:Y,MATCH(Y82,$S:$S,0)+10))</f>
        <v>#N/A</v>
      </c>
      <c r="Z86" s="370"/>
      <c r="AA86" s="369" t="e">
        <f>ABS(INDEX(AA:AA,MATCH(AA82,$S:$S,0)+8)+INDEX(AA:AA,MATCH(AA82,$S:$S,0)+9)+INDEX(AA:AA,MATCH(AA82,$S:$S,0)+10))</f>
        <v>#N/A</v>
      </c>
      <c r="AB86" s="370"/>
      <c r="AC86" s="369" t="e">
        <f>ABS(INDEX(AC:AC,MATCH(AC82,$S:$S,0)+8)+INDEX(AC:AC,MATCH(AC82,$S:$S,0)+9)+INDEX(AC:AC,MATCH(AC82,$S:$S,0)+10))</f>
        <v>#N/A</v>
      </c>
      <c r="AD86" s="370"/>
      <c r="AE86" s="369" t="e">
        <f>ABS(INDEX(AE:AE,MATCH(AE82,$S:$S,0)+8)+INDEX(AE:AE,MATCH(AE82,$S:$S,0)+9)+INDEX(AE:AE,MATCH(AE82,$S:$S,0)+10))</f>
        <v>#N/A</v>
      </c>
      <c r="AF86" s="370"/>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5" t="str">
        <f t="shared" si="82"/>
        <v>Spieler 3</v>
      </c>
      <c r="C87" s="376" t="str">
        <f t="shared" si="83"/>
        <v/>
      </c>
      <c r="D87" s="348" t="e">
        <f>IF(U87=301,"",U87)</f>
        <v>#N/A</v>
      </c>
      <c r="E87" s="348" t="str">
        <f>IF(V87=0,"",V87)</f>
        <v/>
      </c>
      <c r="F87" s="348" t="e">
        <f>IF(W87=301,"",W87)</f>
        <v>#N/A</v>
      </c>
      <c r="G87" s="348" t="str">
        <f>IF(X87=0,"",X87)</f>
        <v/>
      </c>
      <c r="H87" s="348" t="e">
        <f>IF(Y87=301,"",Y87)</f>
        <v>#N/A</v>
      </c>
      <c r="I87" s="348" t="str">
        <f>IF(Z87=0,"",Z87)</f>
        <v/>
      </c>
      <c r="J87" s="348" t="e">
        <f>IF(AA87=301,"",AA87)</f>
        <v>#N/A</v>
      </c>
      <c r="K87" s="348" t="str">
        <f>IF(AB87=0,"",AB87)</f>
        <v/>
      </c>
      <c r="L87" s="348" t="e">
        <f>IF(AC87=301,"",AC87)</f>
        <v>#N/A</v>
      </c>
      <c r="M87" s="348" t="str">
        <f>IF(AD87=0,"",AD87)</f>
        <v/>
      </c>
      <c r="N87" s="349"/>
      <c r="O87" s="349"/>
      <c r="S87" s="35" t="s">
        <v>3</v>
      </c>
      <c r="T87" s="36"/>
      <c r="U87" s="369" t="e">
        <f>ABS(INDEX(U:U,MATCH(U82,$S:$S,0)+11)+INDEX(U:U,MATCH(U82,$S:$S,0)+12)+INDEX(U:U,MATCH(U82,$S:$S,0)+13))</f>
        <v>#N/A</v>
      </c>
      <c r="V87" s="370"/>
      <c r="W87" s="369" t="e">
        <f>ABS(INDEX(W:W,MATCH(W82,$S:$S,0)+11)+INDEX(W:W,MATCH(W82,$S:$S,0)+12)+INDEX(W:W,MATCH(W82,$S:$S,0)+13))</f>
        <v>#N/A</v>
      </c>
      <c r="X87" s="370"/>
      <c r="Y87" s="369" t="e">
        <f>ABS(INDEX(Y:Y,MATCH(Y82,$S:$S,0)+11)+INDEX(Y:Y,MATCH(Y82,$S:$S,0)+12)+INDEX(Y:Y,MATCH(Y82,$S:$S,0)+13))</f>
        <v>#N/A</v>
      </c>
      <c r="Z87" s="370"/>
      <c r="AA87" s="369" t="e">
        <f>ABS(INDEX(AA:AA,MATCH(AA82,$S:$S,0)+11)+INDEX(AA:AA,MATCH(AA82,$S:$S,0)+12)+INDEX(AA:AA,MATCH(AA82,$S:$S,0)+13))</f>
        <v>#N/A</v>
      </c>
      <c r="AB87" s="370"/>
      <c r="AC87" s="369" t="e">
        <f>ABS(INDEX(AC:AC,MATCH(AC82,$S:$S,0)+11)+INDEX(AC:AC,MATCH(AC82,$S:$S,0)+12)+INDEX(AC:AC,MATCH(AC82,$S:$S,0)+13))</f>
        <v>#N/A</v>
      </c>
      <c r="AD87" s="370"/>
      <c r="AE87" s="369" t="e">
        <f>ABS(INDEX(AE:AE,MATCH(AE82,$S:$S,0)+11)+INDEX(AE:AE,MATCH(AE82,$S:$S,0)+12)+INDEX(AE:AE,MATCH(AE82,$S:$S,0)+13))</f>
        <v>#N/A</v>
      </c>
      <c r="AF87" s="370"/>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5" t="str">
        <f t="shared" si="82"/>
        <v>Spieler 4</v>
      </c>
      <c r="C88" s="376" t="str">
        <f t="shared" si="83"/>
        <v/>
      </c>
      <c r="D88" s="348" t="e">
        <f>IF(U88=301,"",U88)</f>
        <v>#N/A</v>
      </c>
      <c r="E88" s="348" t="str">
        <f>IF(V88=0,"",V88)</f>
        <v/>
      </c>
      <c r="F88" s="348" t="e">
        <f>IF(W88=301,"",W88)</f>
        <v>#N/A</v>
      </c>
      <c r="G88" s="348" t="str">
        <f>IF(X88=0,"",X88)</f>
        <v/>
      </c>
      <c r="H88" s="348" t="e">
        <f>IF(Y88=301,"",Y88)</f>
        <v>#N/A</v>
      </c>
      <c r="I88" s="348" t="str">
        <f>IF(Z88=0,"",Z88)</f>
        <v/>
      </c>
      <c r="J88" s="348" t="e">
        <f>IF(AA88=301,"",AA88)</f>
        <v>#N/A</v>
      </c>
      <c r="K88" s="348" t="str">
        <f>IF(AB88=0,"",AB88)</f>
        <v/>
      </c>
      <c r="L88" s="348" t="e">
        <f>IF(AC88=301,"",AC88)</f>
        <v>#N/A</v>
      </c>
      <c r="M88" s="348" t="str">
        <f>IF(AD88=0,"",AD88)</f>
        <v/>
      </c>
      <c r="N88" s="349"/>
      <c r="O88" s="349"/>
      <c r="S88" s="35" t="s">
        <v>11</v>
      </c>
      <c r="T88" s="36"/>
      <c r="U88" s="369" t="e">
        <f>ABS(INDEX(U:U,MATCH(U82,$S:$S,0)+14)+INDEX(U:U,MATCH(U82,$S:$S,0)+15)+INDEX(U:U,MATCH(U82,$S:$S,0)+16))</f>
        <v>#N/A</v>
      </c>
      <c r="V88" s="370"/>
      <c r="W88" s="369" t="e">
        <f>ABS(INDEX(W:W,MATCH(W82,$S:$S,0)+14)+INDEX(W:W,MATCH(W82,$S:$S,0)+15)+INDEX(W:W,MATCH(W82,$S:$S,0)+16))</f>
        <v>#N/A</v>
      </c>
      <c r="X88" s="370"/>
      <c r="Y88" s="369" t="e">
        <f>ABS(INDEX(Y:Y,MATCH(Y82,$S:$S,0)+14)+INDEX(Y:Y,MATCH(Y82,$S:$S,0)+15)+INDEX(Y:Y,MATCH(Y82,$S:$S,0)+16))</f>
        <v>#N/A</v>
      </c>
      <c r="Z88" s="370"/>
      <c r="AA88" s="369" t="e">
        <f>ABS(INDEX(AA:AA,MATCH(AA82,$S:$S,0)+14)+INDEX(AA:AA,MATCH(AA82,$S:$S,0)+15)+INDEX(AA:AA,MATCH(AA82,$S:$S,0)+16))</f>
        <v>#N/A</v>
      </c>
      <c r="AB88" s="370"/>
      <c r="AC88" s="369" t="e">
        <f>ABS(INDEX(AC:AC,MATCH(AC82,$S:$S,0)+14)+INDEX(AC:AC,MATCH(AC82,$S:$S,0)+15)+INDEX(AC:AC,MATCH(AC82,$S:$S,0)+16))</f>
        <v>#N/A</v>
      </c>
      <c r="AD88" s="370"/>
      <c r="AE88" s="369" t="e">
        <f>ABS(INDEX(AE:AE,MATCH(AE82,$S:$S,0)+14)+INDEX(AE:AE,MATCH(AE82,$S:$S,0)+15)+INDEX(AE:AE,MATCH(AE82,$S:$S,0)+16))</f>
        <v>#N/A</v>
      </c>
      <c r="AF88" s="370"/>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3" t="str">
        <f t="shared" si="82"/>
        <v>Gesamt</v>
      </c>
      <c r="C89" s="364" t="str">
        <f t="shared" si="83"/>
        <v/>
      </c>
      <c r="D89" s="347" t="e">
        <f>IF(U89=1505,"",U89)</f>
        <v>#N/A</v>
      </c>
      <c r="E89" s="347" t="str">
        <f>IF(V89=0,"",V89)</f>
        <v/>
      </c>
      <c r="F89" s="347" t="e">
        <f>IF(W89=1505,"",W89)</f>
        <v>#N/A</v>
      </c>
      <c r="G89" s="347" t="str">
        <f>IF(X89=0,"",X89)</f>
        <v/>
      </c>
      <c r="H89" s="347" t="e">
        <f>IF(Y89=1505,"",Y89)</f>
        <v>#N/A</v>
      </c>
      <c r="I89" s="347" t="str">
        <f>IF(Z89=0,"",Z89)</f>
        <v/>
      </c>
      <c r="J89" s="347" t="e">
        <f>IF(AA89=1505,"",AA89)</f>
        <v>#N/A</v>
      </c>
      <c r="K89" s="347" t="str">
        <f>IF(AB89=0,"",AB89)</f>
        <v/>
      </c>
      <c r="L89" s="347" t="e">
        <f>IF(AC89=1505,"",AC89)</f>
        <v>#N/A</v>
      </c>
      <c r="M89" s="347" t="str">
        <f>IF(AD89=0,"",AD89)</f>
        <v/>
      </c>
      <c r="N89" s="312"/>
      <c r="O89" s="312"/>
      <c r="S89" s="37" t="s">
        <v>1788</v>
      </c>
      <c r="T89" s="38"/>
      <c r="U89" s="363" t="e">
        <f>SUM(U85:U88)</f>
        <v>#N/A</v>
      </c>
      <c r="V89" s="364"/>
      <c r="W89" s="363" t="e">
        <f>SUM(W85:W88)</f>
        <v>#N/A</v>
      </c>
      <c r="X89" s="364"/>
      <c r="Y89" s="363" t="e">
        <f>SUM(Y85:Y88)</f>
        <v>#N/A</v>
      </c>
      <c r="Z89" s="364"/>
      <c r="AA89" s="363" t="e">
        <f>SUM(AA85:AA88)</f>
        <v>#N/A</v>
      </c>
      <c r="AB89" s="364"/>
      <c r="AC89" s="363" t="e">
        <f>SUM(AC85:AC88)</f>
        <v>#N/A</v>
      </c>
      <c r="AD89" s="364"/>
      <c r="AE89" s="363" t="e">
        <f>SUM(AE85:AE88)</f>
        <v>#N/A</v>
      </c>
      <c r="AF89" s="364"/>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A13:A15"/>
    <mergeCell ref="E13:E15"/>
    <mergeCell ref="G13:G15"/>
    <mergeCell ref="I13:I15"/>
    <mergeCell ref="K13:K15"/>
    <mergeCell ref="M13:M15"/>
    <mergeCell ref="H22:I22"/>
    <mergeCell ref="J22:K22"/>
    <mergeCell ref="L22:M22"/>
    <mergeCell ref="N22:O22"/>
    <mergeCell ref="D23:E23"/>
    <mergeCell ref="F23:G23"/>
    <mergeCell ref="H23:I23"/>
    <mergeCell ref="J23:K23"/>
    <mergeCell ref="L23:M23"/>
    <mergeCell ref="N23:O23"/>
    <mergeCell ref="F26:G26"/>
    <mergeCell ref="H26:I26"/>
    <mergeCell ref="J26:K26"/>
    <mergeCell ref="L26:M26"/>
    <mergeCell ref="N26:O26"/>
    <mergeCell ref="D25:E25"/>
    <mergeCell ref="F25:G25"/>
    <mergeCell ref="H25:I25"/>
    <mergeCell ref="J25:K25"/>
    <mergeCell ref="L25:M25"/>
    <mergeCell ref="N25:O25"/>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A43:A45"/>
    <mergeCell ref="E43:E45"/>
    <mergeCell ref="G43:G45"/>
    <mergeCell ref="I43:I45"/>
    <mergeCell ref="K43:K45"/>
    <mergeCell ref="M43:M45"/>
    <mergeCell ref="D53:E53"/>
    <mergeCell ref="F53:G53"/>
    <mergeCell ref="H53:I53"/>
    <mergeCell ref="J53:K53"/>
    <mergeCell ref="L53:M53"/>
    <mergeCell ref="N53:O53"/>
    <mergeCell ref="D52:E52"/>
    <mergeCell ref="F52:G52"/>
    <mergeCell ref="H52:I52"/>
    <mergeCell ref="J52:K52"/>
    <mergeCell ref="L52:M52"/>
    <mergeCell ref="N52:O52"/>
    <mergeCell ref="D55:E55"/>
    <mergeCell ref="F55:G55"/>
    <mergeCell ref="H55:I55"/>
    <mergeCell ref="J55:K55"/>
    <mergeCell ref="L55:M55"/>
    <mergeCell ref="N55:O55"/>
    <mergeCell ref="D54:E54"/>
    <mergeCell ref="F54:G54"/>
    <mergeCell ref="H54:I54"/>
    <mergeCell ref="J54:K54"/>
    <mergeCell ref="L54:M54"/>
    <mergeCell ref="N54:O54"/>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G65:AH65"/>
    <mergeCell ref="AG5:AH5"/>
    <mergeCell ref="AC35:AD35"/>
    <mergeCell ref="AG35:AH35"/>
    <mergeCell ref="AC26:AD26"/>
    <mergeCell ref="AC27:AD27"/>
    <mergeCell ref="AC28:AD28"/>
    <mergeCell ref="AC29:AD29"/>
    <mergeCell ref="AE29:AF29"/>
    <mergeCell ref="AE35:AF35"/>
    <mergeCell ref="AC23:AD23"/>
    <mergeCell ref="AC57:AD57"/>
  </mergeCells>
  <dataValidations count="1">
    <dataValidation type="whole" allowBlank="1" showErrorMessage="1" error="Es sind nur Zahlen zwischen -300 und 300 erlaubt!" sqref="U7:AF18 U37:AF48 U67:AF78" xr:uid="{00000000-0002-0000-0600-000000000000}">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E19"/>
  <sheetViews>
    <sheetView workbookViewId="0">
      <selection activeCell="F22" sqref="F22"/>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25" width="11.44140625" customWidth="1"/>
    <col min="26" max="26" width="14.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82" t="str">
        <f>Schlüssel!$C$1</f>
        <v>Landesliga Nord Frauen</v>
      </c>
      <c r="B1" s="382"/>
      <c r="C1" s="382"/>
      <c r="D1" s="382"/>
      <c r="E1" s="382"/>
      <c r="F1" s="382"/>
      <c r="G1" s="382"/>
      <c r="H1" s="382"/>
      <c r="I1" s="382"/>
      <c r="J1" s="382"/>
      <c r="K1" s="382"/>
      <c r="L1" s="382"/>
      <c r="M1" s="382"/>
      <c r="N1" s="382"/>
      <c r="O1" s="382"/>
      <c r="P1" s="382"/>
      <c r="Q1" s="382"/>
      <c r="R1" s="51"/>
      <c r="S1" s="51"/>
      <c r="T1" s="51"/>
      <c r="U1" s="51"/>
      <c r="V1" s="51"/>
      <c r="W1" s="51"/>
      <c r="X1" s="51"/>
      <c r="Y1" s="51"/>
      <c r="AA1" s="223" t="s">
        <v>2086</v>
      </c>
    </row>
    <row r="2" spans="1:31" ht="28.5" customHeight="1" x14ac:dyDescent="0.25">
      <c r="A2" s="383" t="str">
        <f>"Saison "&amp;Spielorte!C18&amp;"     -     Spieltag "&amp;Erfassung1!AD2&amp;"     -     "&amp;TEXT(Erfassung1!AD1,"T. MMMM JJJJ")</f>
        <v>Saison 2024/2025     -     Spieltag 1     -     29.09.</v>
      </c>
      <c r="B2" s="383"/>
      <c r="C2" s="383"/>
      <c r="D2" s="383"/>
      <c r="E2" s="383"/>
      <c r="F2" s="383"/>
      <c r="G2" s="383"/>
      <c r="H2" s="383"/>
      <c r="I2" s="383"/>
      <c r="J2" s="383"/>
      <c r="K2" s="383"/>
      <c r="L2" s="383"/>
      <c r="M2" s="383"/>
      <c r="N2" s="383"/>
      <c r="O2" s="383"/>
      <c r="P2" s="383"/>
      <c r="Q2" s="383"/>
      <c r="R2" s="51"/>
      <c r="S2" s="51"/>
      <c r="T2" s="51"/>
      <c r="U2" s="51"/>
      <c r="V2" s="51"/>
      <c r="W2" s="51"/>
      <c r="X2" s="51"/>
      <c r="Y2" s="51"/>
    </row>
    <row r="3" spans="1:31" ht="28.5" customHeight="1" x14ac:dyDescent="0.25">
      <c r="A3" s="383" t="str">
        <f>Schlüssel!$C$2</f>
        <v>Nürnberg West Bowling</v>
      </c>
      <c r="B3" s="383"/>
      <c r="C3" s="383"/>
      <c r="D3" s="383"/>
      <c r="E3" s="383"/>
      <c r="F3" s="383"/>
      <c r="G3" s="383"/>
      <c r="H3" s="383"/>
      <c r="I3" s="383"/>
      <c r="J3" s="383"/>
      <c r="K3" s="383"/>
      <c r="L3" s="383"/>
      <c r="M3" s="383"/>
      <c r="N3" s="383"/>
      <c r="O3" s="383"/>
      <c r="P3" s="383"/>
      <c r="Q3" s="383"/>
      <c r="R3" s="51"/>
      <c r="S3" s="51"/>
      <c r="T3" s="51"/>
      <c r="U3" s="51"/>
      <c r="V3" s="51"/>
      <c r="W3" s="51"/>
      <c r="X3" s="51"/>
      <c r="Y3" s="51"/>
    </row>
    <row r="4" spans="1:31" ht="28.5" customHeight="1" thickBot="1" x14ac:dyDescent="0.4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5">
      <c r="A5" s="384" t="s">
        <v>1800</v>
      </c>
      <c r="B5" s="393" t="s">
        <v>1801</v>
      </c>
      <c r="C5" s="389" t="s">
        <v>1789</v>
      </c>
      <c r="D5" s="390"/>
      <c r="E5" s="389" t="s">
        <v>1790</v>
      </c>
      <c r="F5" s="390"/>
      <c r="G5" s="389" t="s">
        <v>1791</v>
      </c>
      <c r="H5" s="390"/>
      <c r="I5" s="389" t="s">
        <v>1792</v>
      </c>
      <c r="J5" s="390"/>
      <c r="K5" s="389" t="s">
        <v>1793</v>
      </c>
      <c r="L5" s="390"/>
      <c r="M5" s="395" t="s">
        <v>2088</v>
      </c>
      <c r="N5" s="390"/>
      <c r="O5" s="389" t="s">
        <v>1788</v>
      </c>
      <c r="P5" s="390"/>
      <c r="Q5" s="391" t="s">
        <v>1802</v>
      </c>
      <c r="R5" s="51"/>
      <c r="S5" s="51"/>
      <c r="T5" s="51"/>
      <c r="U5" s="51"/>
      <c r="V5" s="51"/>
      <c r="W5" s="51"/>
      <c r="X5" s="51"/>
      <c r="Y5" s="51"/>
    </row>
    <row r="6" spans="1:31" ht="13.8" thickBot="1" x14ac:dyDescent="0.3">
      <c r="A6" s="385"/>
      <c r="B6" s="394"/>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2"/>
      <c r="R6" s="51"/>
      <c r="S6" s="51"/>
      <c r="T6" s="51"/>
      <c r="U6" s="51"/>
      <c r="V6" s="51"/>
      <c r="W6" s="51"/>
      <c r="X6" s="51"/>
      <c r="Y6" s="51"/>
      <c r="AA6" s="223" t="s">
        <v>1796</v>
      </c>
      <c r="AB6" s="223" t="s">
        <v>2073</v>
      </c>
      <c r="AC6" s="223" t="s">
        <v>2085</v>
      </c>
      <c r="AD6" s="223" t="s">
        <v>1818</v>
      </c>
      <c r="AE6" s="223" t="s">
        <v>1815</v>
      </c>
    </row>
    <row r="7" spans="1:31" ht="42" customHeight="1" thickBot="1" x14ac:dyDescent="0.3">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3">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3">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6" x14ac:dyDescent="0.3">
      <c r="B12" s="388" t="s">
        <v>1812</v>
      </c>
      <c r="C12" s="388"/>
      <c r="D12" s="388"/>
      <c r="E12" s="388"/>
      <c r="F12" s="388"/>
      <c r="G12" s="388"/>
      <c r="H12" s="388"/>
      <c r="I12" s="388"/>
      <c r="J12" s="388"/>
      <c r="K12" s="388"/>
      <c r="L12" s="388"/>
      <c r="M12" s="388"/>
      <c r="N12" s="388"/>
      <c r="O12" s="388"/>
      <c r="P12" s="388"/>
      <c r="Q12" s="388"/>
      <c r="R12" s="106"/>
      <c r="S12" s="106"/>
      <c r="T12" s="106"/>
      <c r="U12" s="106"/>
      <c r="V12" s="106"/>
      <c r="W12" s="106"/>
      <c r="X12" s="106"/>
      <c r="Y12" s="106"/>
      <c r="Z12" s="106"/>
    </row>
    <row r="13" spans="1:31" x14ac:dyDescent="0.25">
      <c r="C13" s="386"/>
      <c r="D13" s="386"/>
      <c r="E13" s="386"/>
      <c r="F13" s="386"/>
      <c r="G13" s="386"/>
      <c r="H13" s="386"/>
    </row>
    <row r="14" spans="1:31" x14ac:dyDescent="0.25">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5">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5">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5">
      <c r="B17" s="106" t="s">
        <v>1814</v>
      </c>
      <c r="C17" t="str">
        <f>IFERROR(INDEX(Erfassung1!S:S,MATCH(1,Erfassung1!BW:BW,0)),"")</f>
        <v>Fischer, Marika</v>
      </c>
      <c r="H17" t="str">
        <f>INDEX(Erfassung1!BR:BR,MATCH(C17,Erfassung1!S:S,0))</f>
        <v>BC Phönix Lauf</v>
      </c>
      <c r="N17" s="387" t="str">
        <f>IFERROR(ROUND(INDEX(Erfassung1!BT:BT,MATCH(1,Erfassung1!BW:BW,0)),0),"")&amp;"  /  "&amp;ROUND(IFERROR(ROUND(INDEX(Erfassung1!BT:BT,MATCH(1,Erfassung1!BW:BW,0)),0),"")/6,2)</f>
        <v>1042  /  173,67</v>
      </c>
      <c r="O17" s="387"/>
    </row>
    <row r="18" spans="2:15" x14ac:dyDescent="0.25">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5">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N17:O17"/>
    <mergeCell ref="B12:Q12"/>
    <mergeCell ref="K5:L5"/>
    <mergeCell ref="O5:P5"/>
    <mergeCell ref="Q5:Q6"/>
    <mergeCell ref="B5:B6"/>
    <mergeCell ref="C5:D5"/>
    <mergeCell ref="E5:F5"/>
    <mergeCell ref="G5:H5"/>
    <mergeCell ref="M5:N5"/>
    <mergeCell ref="I5:J5"/>
    <mergeCell ref="A1:Q1"/>
    <mergeCell ref="A2:Q2"/>
    <mergeCell ref="A3:Q3"/>
    <mergeCell ref="A5:A6"/>
    <mergeCell ref="C13:H13"/>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5">
      <c r="L3" s="108">
        <f>INDEX(Starter!A:A,ROW()-1)</f>
        <v>38735</v>
      </c>
      <c r="M3" s="108">
        <f>SUMIF(Erfassung1!BD:BD,L3,Erfassung1!BE:BE)</f>
        <v>0</v>
      </c>
      <c r="N3" s="108">
        <f>SUMIF(Erfassung1!BD:BD,L3,Erfassung1!BG:BG)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5">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5">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5">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5">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SUMIF(Erfassung1!BD:BD,L19,Erfassung1!BE:BE)</f>
        <v>0</v>
      </c>
      <c r="N19" s="108">
        <f>SUMIF(Erfassung1!BD:BD,L19,Erfassung1!BG:BG)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7" t="s">
        <v>1820</v>
      </c>
      <c r="C2" s="337"/>
      <c r="D2" s="337"/>
      <c r="E2" s="337"/>
      <c r="F2" s="337"/>
      <c r="G2" s="337"/>
      <c r="H2" s="337"/>
      <c r="I2" s="337"/>
      <c r="J2" s="337"/>
      <c r="K2" s="337"/>
      <c r="L2" s="337"/>
      <c r="M2" s="337"/>
      <c r="N2" s="337"/>
      <c r="O2" s="337"/>
      <c r="P2" s="337"/>
      <c r="Q2" s="337"/>
      <c r="R2" s="337"/>
      <c r="S2" s="337"/>
      <c r="T2" s="337"/>
      <c r="U2" s="337"/>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8"/>
      <c r="R4" s="338"/>
      <c r="S4" s="338"/>
      <c r="T4" s="338"/>
      <c r="U4" s="338"/>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9">
        <f>+Spielzettel2!M2</f>
        <v>2</v>
      </c>
      <c r="F6" s="340"/>
      <c r="P6" s="128" t="s">
        <v>1821</v>
      </c>
      <c r="Q6" s="341" t="str">
        <f>+Spielzettel2!L1</f>
        <v>13.10.</v>
      </c>
      <c r="R6" s="342">
        <v>0</v>
      </c>
      <c r="S6" s="342">
        <v>0</v>
      </c>
      <c r="T6" s="343">
        <v>0</v>
      </c>
      <c r="U6" s="61"/>
    </row>
    <row r="7" spans="2:21" x14ac:dyDescent="0.25">
      <c r="B7" s="60"/>
      <c r="C7" s="128"/>
      <c r="D7" s="128"/>
      <c r="U7" s="61"/>
    </row>
    <row r="8" spans="2:21" x14ac:dyDescent="0.25">
      <c r="B8" s="60"/>
      <c r="C8" s="128" t="s">
        <v>1822</v>
      </c>
      <c r="D8" s="128"/>
      <c r="E8" s="344" t="str">
        <f>+Spielzettel2!D2</f>
        <v>Nürnberg West Bowling</v>
      </c>
      <c r="F8" s="345"/>
      <c r="G8" s="345"/>
      <c r="H8" s="345">
        <v>0</v>
      </c>
      <c r="I8" s="345"/>
      <c r="J8" s="346"/>
      <c r="N8" s="128" t="s">
        <v>1823</v>
      </c>
      <c r="P8" s="344" t="str">
        <f>+Spielzettel2!D1</f>
        <v>Landesliga Nord Frauen</v>
      </c>
      <c r="Q8" s="345"/>
      <c r="R8" s="345"/>
      <c r="S8" s="345"/>
      <c r="T8" s="346"/>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1" t="s">
        <v>1824</v>
      </c>
      <c r="D11" s="331"/>
      <c r="E11" s="331"/>
      <c r="F11" s="331"/>
      <c r="G11" s="331"/>
      <c r="H11" s="331"/>
      <c r="I11" s="331"/>
      <c r="J11" s="331"/>
      <c r="K11" s="331"/>
      <c r="L11" s="331"/>
      <c r="M11" s="331"/>
      <c r="N11" s="331"/>
      <c r="O11" s="331"/>
      <c r="P11" s="331"/>
      <c r="Q11" s="331"/>
      <c r="R11" s="331"/>
      <c r="S11" s="331"/>
      <c r="T11" s="331"/>
      <c r="U11" s="131"/>
    </row>
    <row r="12" spans="2:21" ht="21.75" customHeight="1" x14ac:dyDescent="0.25">
      <c r="B12" s="132"/>
      <c r="C12" s="332" t="s">
        <v>1825</v>
      </c>
      <c r="D12" s="332"/>
      <c r="E12" s="332"/>
      <c r="F12" s="332"/>
      <c r="G12" s="332"/>
      <c r="H12" s="332"/>
      <c r="I12" s="332"/>
      <c r="J12" s="332"/>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5"/>
      <c r="D19" s="326"/>
      <c r="E19" s="333"/>
      <c r="F19" s="333"/>
      <c r="G19" s="333"/>
      <c r="H19" s="333"/>
      <c r="I19" s="333"/>
      <c r="J19" s="333"/>
      <c r="K19" s="333"/>
      <c r="L19" s="333"/>
      <c r="M19" s="333"/>
      <c r="N19" s="333"/>
      <c r="O19" s="333"/>
      <c r="P19" s="333"/>
      <c r="Q19" s="333"/>
      <c r="R19" s="333"/>
      <c r="S19" s="333"/>
      <c r="T19" s="334"/>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5"/>
      <c r="D24" s="326"/>
      <c r="E24" s="326"/>
      <c r="F24" s="326"/>
      <c r="G24" s="326"/>
      <c r="H24" s="326"/>
      <c r="I24" s="326"/>
      <c r="J24" s="326"/>
      <c r="K24" s="326"/>
      <c r="L24" s="326"/>
      <c r="M24" s="326"/>
      <c r="N24" s="326"/>
      <c r="O24" s="326"/>
      <c r="P24" s="326"/>
      <c r="Q24" s="326"/>
      <c r="R24" s="326"/>
      <c r="S24" s="326"/>
      <c r="T24" s="327"/>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5"/>
      <c r="D29" s="326"/>
      <c r="E29" s="326"/>
      <c r="F29" s="326"/>
      <c r="G29" s="326"/>
      <c r="H29" s="326"/>
      <c r="I29" s="326"/>
      <c r="J29" s="326"/>
      <c r="K29" s="326"/>
      <c r="L29" s="326"/>
      <c r="M29" s="326"/>
      <c r="N29" s="326"/>
      <c r="O29" s="326"/>
      <c r="P29" s="326"/>
      <c r="Q29" s="326"/>
      <c r="R29" s="326"/>
      <c r="S29" s="326"/>
      <c r="T29" s="327"/>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5"/>
      <c r="G35" s="335"/>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5"/>
      <c r="D37" s="326"/>
      <c r="E37" s="326"/>
      <c r="F37" s="326"/>
      <c r="G37" s="326"/>
      <c r="H37" s="326"/>
      <c r="I37" s="326"/>
      <c r="J37" s="326"/>
      <c r="K37" s="326"/>
      <c r="L37" s="326"/>
      <c r="M37" s="326"/>
      <c r="N37" s="326"/>
      <c r="O37" s="326"/>
      <c r="P37" s="326"/>
      <c r="Q37" s="326"/>
      <c r="R37" s="326"/>
      <c r="S37" s="326"/>
      <c r="T37" s="327"/>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6"/>
      <c r="G41" s="336"/>
      <c r="H41" s="336"/>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5"/>
      <c r="D45" s="326"/>
      <c r="E45" s="326"/>
      <c r="F45" s="326"/>
      <c r="G45" s="326"/>
      <c r="H45" s="326"/>
      <c r="I45" s="326"/>
      <c r="J45" s="326"/>
      <c r="K45" s="326"/>
      <c r="L45" s="326"/>
      <c r="M45" s="326"/>
      <c r="N45" s="326"/>
      <c r="O45" s="326"/>
      <c r="P45" s="326"/>
      <c r="Q45" s="326"/>
      <c r="R45" s="326"/>
      <c r="S45" s="326"/>
      <c r="T45" s="327"/>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1" t="s">
        <v>1847</v>
      </c>
      <c r="D48" s="331"/>
      <c r="E48" s="331"/>
      <c r="F48" s="331"/>
      <c r="G48" s="331"/>
      <c r="H48" s="331"/>
      <c r="I48" s="331"/>
      <c r="J48" s="331"/>
      <c r="K48" s="331"/>
      <c r="L48" s="331"/>
      <c r="M48" s="331"/>
      <c r="N48" s="331"/>
      <c r="O48" s="331"/>
      <c r="P48" s="331"/>
      <c r="Q48" s="331"/>
      <c r="R48" s="331"/>
      <c r="S48" s="331"/>
      <c r="T48" s="331"/>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5"/>
      <c r="D52" s="326"/>
      <c r="E52" s="326"/>
      <c r="F52" s="326"/>
      <c r="G52" s="326"/>
      <c r="H52" s="326"/>
      <c r="I52" s="326"/>
      <c r="J52" s="326"/>
      <c r="K52" s="326"/>
      <c r="L52" s="326"/>
      <c r="M52" s="326"/>
      <c r="N52" s="326"/>
      <c r="O52" s="326"/>
      <c r="P52" s="326"/>
      <c r="Q52" s="326"/>
      <c r="R52" s="326"/>
      <c r="S52" s="326"/>
      <c r="T52" s="327"/>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5"/>
      <c r="D56" s="326"/>
      <c r="E56" s="326"/>
      <c r="F56" s="326"/>
      <c r="G56" s="326"/>
      <c r="H56" s="326"/>
      <c r="I56" s="326"/>
      <c r="J56" s="326"/>
      <c r="K56" s="326"/>
      <c r="L56" s="326"/>
      <c r="M56" s="326"/>
      <c r="N56" s="326"/>
      <c r="O56" s="326"/>
      <c r="P56" s="326"/>
      <c r="Q56" s="326"/>
      <c r="R56" s="326"/>
      <c r="S56" s="326"/>
      <c r="T56" s="327"/>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5"/>
      <c r="D60" s="326"/>
      <c r="E60" s="326"/>
      <c r="F60" s="326"/>
      <c r="G60" s="326"/>
      <c r="H60" s="326"/>
      <c r="I60" s="326"/>
      <c r="J60" s="326"/>
      <c r="K60" s="326"/>
      <c r="L60" s="326"/>
      <c r="M60" s="326"/>
      <c r="N60" s="326"/>
      <c r="O60" s="326"/>
      <c r="P60" s="326"/>
      <c r="Q60" s="326"/>
      <c r="R60" s="326"/>
      <c r="S60" s="326"/>
      <c r="T60" s="327"/>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5"/>
      <c r="D64" s="326"/>
      <c r="E64" s="326"/>
      <c r="F64" s="326"/>
      <c r="G64" s="326"/>
      <c r="H64" s="326"/>
      <c r="I64" s="326"/>
      <c r="J64" s="326"/>
      <c r="K64" s="326"/>
      <c r="L64" s="326"/>
      <c r="M64" s="326"/>
      <c r="N64" s="326"/>
      <c r="O64" s="326"/>
      <c r="P64" s="326"/>
      <c r="Q64" s="326"/>
      <c r="R64" s="326"/>
      <c r="S64" s="326"/>
      <c r="T64" s="327"/>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5"/>
      <c r="D68" s="326"/>
      <c r="E68" s="326"/>
      <c r="F68" s="326"/>
      <c r="G68" s="326"/>
      <c r="H68" s="326"/>
      <c r="I68" s="326"/>
      <c r="J68" s="326"/>
      <c r="K68" s="326"/>
      <c r="L68" s="326"/>
      <c r="M68" s="326"/>
      <c r="N68" s="326"/>
      <c r="O68" s="326"/>
      <c r="P68" s="326"/>
      <c r="Q68" s="326"/>
      <c r="R68" s="326"/>
      <c r="S68" s="326"/>
      <c r="T68" s="327"/>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5"/>
      <c r="D72" s="326"/>
      <c r="E72" s="326"/>
      <c r="F72" s="326"/>
      <c r="G72" s="326"/>
      <c r="H72" s="326"/>
      <c r="I72" s="326"/>
      <c r="J72" s="326"/>
      <c r="K72" s="326"/>
      <c r="L72" s="326"/>
      <c r="M72" s="326"/>
      <c r="N72" s="326"/>
      <c r="O72" s="326"/>
      <c r="P72" s="326"/>
      <c r="Q72" s="326"/>
      <c r="R72" s="326"/>
      <c r="S72" s="326"/>
      <c r="T72" s="327"/>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8"/>
      <c r="D79" s="329"/>
      <c r="E79" s="329"/>
      <c r="F79" s="329"/>
      <c r="G79" s="329"/>
      <c r="H79" s="329"/>
      <c r="I79" s="329"/>
      <c r="J79" s="329"/>
      <c r="K79" s="329"/>
      <c r="L79" s="329"/>
      <c r="M79" s="329"/>
      <c r="N79" s="329"/>
      <c r="O79" s="329"/>
      <c r="P79" s="329"/>
      <c r="Q79" s="329"/>
      <c r="R79" s="329"/>
      <c r="S79" s="329"/>
      <c r="T79" s="330"/>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4"/>
      <c r="E82" s="324"/>
      <c r="F82" s="324"/>
      <c r="G82" s="324"/>
      <c r="H82" s="324"/>
      <c r="I82" s="324"/>
      <c r="J82" s="324"/>
      <c r="K82" s="324"/>
      <c r="L82" s="324"/>
      <c r="M82" s="324"/>
      <c r="P82" s="324"/>
      <c r="Q82" s="324"/>
      <c r="R82" s="324"/>
      <c r="S82" s="324"/>
      <c r="T82" s="324"/>
      <c r="U82" s="324"/>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4"/>
      <c r="E85" s="324"/>
      <c r="F85" s="324"/>
      <c r="G85" s="324"/>
      <c r="H85" s="324"/>
      <c r="I85" s="324"/>
      <c r="J85" s="324"/>
      <c r="K85" s="324"/>
      <c r="L85" s="324"/>
      <c r="M85" s="324"/>
      <c r="P85" s="324"/>
      <c r="Q85" s="324"/>
      <c r="R85" s="324"/>
      <c r="S85" s="324"/>
      <c r="T85" s="324"/>
      <c r="U85" s="324"/>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2" t="str">
        <f>Schlüssel!$AG$1</f>
        <v>13.10.</v>
      </c>
      <c r="M1" s="362"/>
      <c r="N1" s="362"/>
      <c r="O1" s="362"/>
      <c r="P1" s="362"/>
      <c r="AE1" s="90" t="s">
        <v>1809</v>
      </c>
    </row>
    <row r="2" spans="1:31" ht="17.25" customHeight="1" thickBot="1" x14ac:dyDescent="0.35">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5">
      <c r="B5" s="40" t="s">
        <v>1</v>
      </c>
      <c r="C5" s="41"/>
      <c r="D5" s="363" t="s">
        <v>1789</v>
      </c>
      <c r="E5" s="364"/>
      <c r="F5" s="363" t="s">
        <v>1790</v>
      </c>
      <c r="G5" s="364"/>
      <c r="H5" s="363" t="s">
        <v>1791</v>
      </c>
      <c r="I5" s="364"/>
      <c r="J5" s="363" t="s">
        <v>1792</v>
      </c>
      <c r="K5" s="364"/>
      <c r="L5" s="363" t="s">
        <v>1793</v>
      </c>
      <c r="M5" s="364"/>
      <c r="N5" s="363" t="s">
        <v>2088</v>
      </c>
      <c r="O5" s="364"/>
      <c r="P5" s="365" t="s">
        <v>1788</v>
      </c>
      <c r="Q5" s="36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9" t="s">
        <v>0</v>
      </c>
      <c r="B7" s="17"/>
      <c r="C7" s="18"/>
      <c r="D7" s="14"/>
      <c r="E7" s="356"/>
      <c r="F7" s="14"/>
      <c r="G7" s="356"/>
      <c r="H7" s="14"/>
      <c r="I7" s="356"/>
      <c r="J7" s="14"/>
      <c r="K7" s="356"/>
      <c r="L7" s="14"/>
      <c r="M7" s="356"/>
      <c r="N7" s="14"/>
      <c r="O7" s="356"/>
      <c r="P7" s="14"/>
      <c r="Q7" s="356"/>
    </row>
    <row r="8" spans="1:31" ht="17.100000000000001" customHeight="1" x14ac:dyDescent="0.25">
      <c r="A8" s="360"/>
      <c r="B8" s="19"/>
      <c r="C8" s="20"/>
      <c r="D8" s="15"/>
      <c r="E8" s="357"/>
      <c r="F8" s="15"/>
      <c r="G8" s="357"/>
      <c r="H8" s="15"/>
      <c r="I8" s="357"/>
      <c r="J8" s="15"/>
      <c r="K8" s="357"/>
      <c r="L8" s="15"/>
      <c r="M8" s="357"/>
      <c r="N8" s="15"/>
      <c r="O8" s="357"/>
      <c r="P8" s="15"/>
      <c r="Q8" s="357"/>
    </row>
    <row r="9" spans="1:31" ht="17.100000000000001" customHeight="1" thickBot="1" x14ac:dyDescent="0.3">
      <c r="A9" s="361"/>
      <c r="B9" s="21"/>
      <c r="C9" s="22"/>
      <c r="D9" s="9"/>
      <c r="E9" s="358"/>
      <c r="F9" s="9"/>
      <c r="G9" s="358"/>
      <c r="H9" s="9"/>
      <c r="I9" s="358"/>
      <c r="J9" s="9"/>
      <c r="K9" s="358"/>
      <c r="L9" s="9"/>
      <c r="M9" s="358"/>
      <c r="N9" s="9"/>
      <c r="O9" s="358"/>
      <c r="P9" s="9"/>
      <c r="Q9" s="358"/>
    </row>
    <row r="10" spans="1:31" ht="17.100000000000001" customHeight="1" x14ac:dyDescent="0.25">
      <c r="A10" s="359" t="s">
        <v>2</v>
      </c>
      <c r="B10" s="17"/>
      <c r="C10" s="18"/>
      <c r="D10" s="14"/>
      <c r="E10" s="356"/>
      <c r="F10" s="14"/>
      <c r="G10" s="356"/>
      <c r="H10" s="14"/>
      <c r="I10" s="356"/>
      <c r="J10" s="14"/>
      <c r="K10" s="356"/>
      <c r="L10" s="14"/>
      <c r="M10" s="356"/>
      <c r="N10" s="14"/>
      <c r="O10" s="356"/>
      <c r="P10" s="14"/>
      <c r="Q10" s="356"/>
    </row>
    <row r="11" spans="1:31" ht="17.100000000000001" customHeight="1" x14ac:dyDescent="0.25">
      <c r="A11" s="360"/>
      <c r="B11" s="19"/>
      <c r="C11" s="20"/>
      <c r="D11" s="15"/>
      <c r="E11" s="357"/>
      <c r="F11" s="15"/>
      <c r="G11" s="357"/>
      <c r="H11" s="15"/>
      <c r="I11" s="357"/>
      <c r="J11" s="15"/>
      <c r="K11" s="357"/>
      <c r="L11" s="15"/>
      <c r="M11" s="357"/>
      <c r="N11" s="15"/>
      <c r="O11" s="357"/>
      <c r="P11" s="15"/>
      <c r="Q11" s="357"/>
    </row>
    <row r="12" spans="1:31" ht="17.100000000000001" customHeight="1" thickBot="1" x14ac:dyDescent="0.3">
      <c r="A12" s="361"/>
      <c r="B12" s="21"/>
      <c r="C12" s="22"/>
      <c r="D12" s="9"/>
      <c r="E12" s="358"/>
      <c r="F12" s="9"/>
      <c r="G12" s="358"/>
      <c r="H12" s="9"/>
      <c r="I12" s="358"/>
      <c r="J12" s="9"/>
      <c r="K12" s="358"/>
      <c r="L12" s="9"/>
      <c r="M12" s="358"/>
      <c r="N12" s="9"/>
      <c r="O12" s="358"/>
      <c r="P12" s="9"/>
      <c r="Q12" s="358"/>
    </row>
    <row r="13" spans="1:31" ht="17.100000000000001" customHeight="1" x14ac:dyDescent="0.25">
      <c r="A13" s="359" t="s">
        <v>3</v>
      </c>
      <c r="B13" s="17"/>
      <c r="C13" s="18"/>
      <c r="D13" s="14"/>
      <c r="E13" s="356"/>
      <c r="F13" s="14"/>
      <c r="G13" s="356"/>
      <c r="H13" s="14"/>
      <c r="I13" s="356"/>
      <c r="J13" s="14"/>
      <c r="K13" s="356"/>
      <c r="L13" s="14"/>
      <c r="M13" s="356"/>
      <c r="N13" s="14"/>
      <c r="O13" s="356"/>
      <c r="P13" s="14"/>
      <c r="Q13" s="356"/>
    </row>
    <row r="14" spans="1:31" ht="17.100000000000001" customHeight="1" x14ac:dyDescent="0.25">
      <c r="A14" s="360"/>
      <c r="B14" s="19"/>
      <c r="C14" s="20"/>
      <c r="D14" s="15"/>
      <c r="E14" s="357"/>
      <c r="F14" s="15"/>
      <c r="G14" s="357"/>
      <c r="H14" s="15"/>
      <c r="I14" s="357"/>
      <c r="J14" s="15"/>
      <c r="K14" s="357"/>
      <c r="L14" s="15"/>
      <c r="M14" s="357"/>
      <c r="N14" s="15"/>
      <c r="O14" s="357"/>
      <c r="P14" s="15"/>
      <c r="Q14" s="357"/>
    </row>
    <row r="15" spans="1:31" ht="17.100000000000001" customHeight="1" thickBot="1" x14ac:dyDescent="0.3">
      <c r="A15" s="361"/>
      <c r="B15" s="21"/>
      <c r="C15" s="22"/>
      <c r="D15" s="9"/>
      <c r="E15" s="358"/>
      <c r="F15" s="9"/>
      <c r="G15" s="358"/>
      <c r="H15" s="9"/>
      <c r="I15" s="358"/>
      <c r="J15" s="9"/>
      <c r="K15" s="358"/>
      <c r="L15" s="9"/>
      <c r="M15" s="358"/>
      <c r="N15" s="9"/>
      <c r="O15" s="358"/>
      <c r="P15" s="9"/>
      <c r="Q15" s="358"/>
    </row>
    <row r="16" spans="1:31" ht="17.100000000000001" customHeight="1" x14ac:dyDescent="0.25">
      <c r="A16" s="359" t="s">
        <v>11</v>
      </c>
      <c r="B16" s="17"/>
      <c r="C16" s="18"/>
      <c r="D16" s="14"/>
      <c r="E16" s="356"/>
      <c r="F16" s="14"/>
      <c r="G16" s="356"/>
      <c r="H16" s="14"/>
      <c r="I16" s="356"/>
      <c r="J16" s="14"/>
      <c r="K16" s="356"/>
      <c r="L16" s="14"/>
      <c r="M16" s="356"/>
      <c r="N16" s="14"/>
      <c r="O16" s="356"/>
      <c r="P16" s="14"/>
      <c r="Q16" s="356"/>
    </row>
    <row r="17" spans="1:31" ht="17.100000000000001" customHeight="1" x14ac:dyDescent="0.25">
      <c r="A17" s="360"/>
      <c r="B17" s="19"/>
      <c r="C17" s="20"/>
      <c r="D17" s="15"/>
      <c r="E17" s="357"/>
      <c r="F17" s="15"/>
      <c r="G17" s="357"/>
      <c r="H17" s="15"/>
      <c r="I17" s="357"/>
      <c r="J17" s="15"/>
      <c r="K17" s="357"/>
      <c r="L17" s="15"/>
      <c r="M17" s="357"/>
      <c r="N17" s="15"/>
      <c r="O17" s="357"/>
      <c r="P17" s="15"/>
      <c r="Q17" s="357"/>
    </row>
    <row r="18" spans="1:31" ht="17.100000000000001" customHeight="1" thickBot="1" x14ac:dyDescent="0.3">
      <c r="A18" s="361"/>
      <c r="B18" s="21"/>
      <c r="C18" s="22"/>
      <c r="D18" s="9"/>
      <c r="E18" s="358"/>
      <c r="F18" s="9"/>
      <c r="G18" s="358"/>
      <c r="H18" s="9"/>
      <c r="I18" s="358"/>
      <c r="J18" s="9"/>
      <c r="K18" s="358"/>
      <c r="L18" s="9"/>
      <c r="M18" s="358"/>
      <c r="N18" s="9"/>
      <c r="O18" s="358"/>
      <c r="P18" s="9"/>
      <c r="Q18" s="358"/>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4">
        <f>VLOOKUP(B2,Schlüssel!$A$5:$DF$10,23)</f>
        <v>3</v>
      </c>
      <c r="E22" s="354"/>
      <c r="F22" s="354">
        <f>VLOOKUP(B2,Schlüssel!$A$5:$DF$10,24)</f>
        <v>3</v>
      </c>
      <c r="G22" s="354"/>
      <c r="H22" s="354">
        <f>VLOOKUP(B2,Schlüssel!$A$5:$DF$10,25)</f>
        <v>3</v>
      </c>
      <c r="I22" s="354"/>
      <c r="J22" s="354">
        <f>VLOOKUP(B2,Schlüssel!$A$5:$DF$10,26)</f>
        <v>3</v>
      </c>
      <c r="K22" s="354"/>
      <c r="L22" s="354">
        <f>VLOOKUP(B2,Schlüssel!$A$5:$DF$10,27)</f>
        <v>3</v>
      </c>
      <c r="M22" s="354"/>
      <c r="N22" s="354">
        <f>VLOOKUP(B2,Schlüssel!$A$5:$DF$10,28)</f>
        <v>3</v>
      </c>
      <c r="O22" s="354"/>
      <c r="P22" s="355"/>
      <c r="Q22" s="355"/>
    </row>
    <row r="23" spans="1:31" ht="28.5" customHeight="1" x14ac:dyDescent="0.25">
      <c r="B23" s="4"/>
      <c r="C23" s="1"/>
      <c r="D23" s="351" t="str">
        <f>VLOOKUP(D22,Schlüssel!$A$5:$K$10,2)</f>
        <v>Mainauenbowler Bayreuth Land</v>
      </c>
      <c r="E23" s="352"/>
      <c r="F23" s="351" t="str">
        <f>VLOOKUP(F22,Schlüssel!$A$5:$K$10,2)</f>
        <v>Mainauenbowler Bayreuth Land</v>
      </c>
      <c r="G23" s="352"/>
      <c r="H23" s="351" t="str">
        <f>VLOOKUP(H22,Schlüssel!$A$5:$K$10,2)</f>
        <v>Mainauenbowler Bayreuth Land</v>
      </c>
      <c r="I23" s="352"/>
      <c r="J23" s="351" t="str">
        <f>VLOOKUP(J22,Schlüssel!$A$5:$K$10,2)</f>
        <v>Mainauenbowler Bayreuth Land</v>
      </c>
      <c r="K23" s="352"/>
      <c r="L23" s="351" t="str">
        <f>VLOOKUP(L22,Schlüssel!$A$5:$K$10,2)</f>
        <v>Mainauenbowler Bayreuth Land</v>
      </c>
      <c r="M23" s="352"/>
      <c r="N23" s="351" t="str">
        <f>VLOOKUP(N22,Schlüssel!$A$5:$K$10,2)</f>
        <v>Mainauenbowler Bayreuth Land</v>
      </c>
      <c r="O23" s="352"/>
      <c r="P23" s="353"/>
      <c r="Q23" s="353"/>
    </row>
    <row r="24" spans="1:31" ht="12" customHeight="1" x14ac:dyDescent="0.25">
      <c r="B24" s="4"/>
      <c r="C24" s="1"/>
      <c r="D24" s="350"/>
      <c r="E24" s="350"/>
      <c r="F24" s="350"/>
      <c r="G24" s="350"/>
      <c r="H24" s="350"/>
      <c r="I24" s="350"/>
      <c r="J24" s="350"/>
      <c r="K24" s="350"/>
      <c r="L24" s="350"/>
      <c r="M24" s="350"/>
      <c r="N24" s="350"/>
      <c r="O24" s="350"/>
      <c r="P24" s="307"/>
      <c r="Q24" s="307"/>
    </row>
    <row r="25" spans="1:31" ht="15.9" customHeight="1" x14ac:dyDescent="0.25">
      <c r="B25" s="35" t="s">
        <v>0</v>
      </c>
      <c r="C25" s="36"/>
      <c r="D25" s="348"/>
      <c r="E25" s="348"/>
      <c r="F25" s="348"/>
      <c r="G25" s="348"/>
      <c r="H25" s="348"/>
      <c r="I25" s="348"/>
      <c r="J25" s="348"/>
      <c r="K25" s="348"/>
      <c r="L25" s="348"/>
      <c r="M25" s="348"/>
      <c r="N25" s="348"/>
      <c r="O25" s="348"/>
      <c r="P25" s="349"/>
      <c r="Q25" s="349"/>
    </row>
    <row r="26" spans="1:31" ht="15.9" customHeight="1" x14ac:dyDescent="0.25">
      <c r="B26" s="35" t="s">
        <v>2</v>
      </c>
      <c r="C26" s="36"/>
      <c r="D26" s="348"/>
      <c r="E26" s="348"/>
      <c r="F26" s="348"/>
      <c r="G26" s="348"/>
      <c r="H26" s="348"/>
      <c r="I26" s="348"/>
      <c r="J26" s="348"/>
      <c r="K26" s="348"/>
      <c r="L26" s="348"/>
      <c r="M26" s="348"/>
      <c r="N26" s="348"/>
      <c r="O26" s="348"/>
      <c r="P26" s="349"/>
      <c r="Q26" s="349"/>
    </row>
    <row r="27" spans="1:31" ht="15.9" customHeight="1" x14ac:dyDescent="0.25">
      <c r="B27" s="35" t="s">
        <v>3</v>
      </c>
      <c r="C27" s="36"/>
      <c r="D27" s="348"/>
      <c r="E27" s="348"/>
      <c r="F27" s="348"/>
      <c r="G27" s="348"/>
      <c r="H27" s="348"/>
      <c r="I27" s="348"/>
      <c r="J27" s="348"/>
      <c r="K27" s="348"/>
      <c r="L27" s="348"/>
      <c r="M27" s="348"/>
      <c r="N27" s="348"/>
      <c r="O27" s="348"/>
      <c r="P27" s="349"/>
      <c r="Q27" s="349"/>
    </row>
    <row r="28" spans="1:31" ht="15.9" customHeight="1" x14ac:dyDescent="0.25">
      <c r="B28" s="35" t="s">
        <v>11</v>
      </c>
      <c r="C28" s="36"/>
      <c r="D28" s="348"/>
      <c r="E28" s="348"/>
      <c r="F28" s="348"/>
      <c r="G28" s="348"/>
      <c r="H28" s="348"/>
      <c r="I28" s="348"/>
      <c r="J28" s="348"/>
      <c r="K28" s="348"/>
      <c r="L28" s="348"/>
      <c r="M28" s="348"/>
      <c r="N28" s="348"/>
      <c r="O28" s="348"/>
      <c r="P28" s="349"/>
      <c r="Q28" s="349"/>
    </row>
    <row r="29" spans="1:31" ht="15.9" customHeight="1" x14ac:dyDescent="0.25">
      <c r="B29" s="37" t="s">
        <v>1788</v>
      </c>
      <c r="C29" s="38"/>
      <c r="D29" s="347"/>
      <c r="E29" s="347"/>
      <c r="F29" s="347"/>
      <c r="G29" s="347"/>
      <c r="H29" s="347"/>
      <c r="I29" s="347"/>
      <c r="J29" s="347"/>
      <c r="K29" s="347"/>
      <c r="L29" s="347"/>
      <c r="M29" s="347"/>
      <c r="N29" s="347"/>
      <c r="O29" s="347"/>
      <c r="P29" s="312"/>
      <c r="Q29" s="312"/>
    </row>
    <row r="30" spans="1:31" ht="21" customHeight="1" x14ac:dyDescent="0.4">
      <c r="B30" s="7" t="s">
        <v>1798</v>
      </c>
      <c r="C30" s="30" t="s">
        <v>1782</v>
      </c>
      <c r="D30" s="76" t="str">
        <f>Schlüssel!$C$1</f>
        <v>Landesliga Nord Frauen</v>
      </c>
      <c r="F30" s="25"/>
      <c r="G30" s="25"/>
      <c r="H30" s="25"/>
      <c r="I30" s="25"/>
      <c r="K30" s="29"/>
      <c r="L30" s="362" t="str">
        <f>Schlüssel!$AG$1</f>
        <v>13.10.</v>
      </c>
      <c r="M30" s="362"/>
      <c r="N30" s="362"/>
      <c r="O30" s="362"/>
      <c r="P30" s="362"/>
      <c r="AE30" s="90"/>
    </row>
    <row r="31" spans="1:31" ht="17.25" customHeight="1" thickBot="1" x14ac:dyDescent="0.35">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5">
      <c r="B34" s="40" t="s">
        <v>1</v>
      </c>
      <c r="C34" s="41"/>
      <c r="D34" s="363" t="s">
        <v>1789</v>
      </c>
      <c r="E34" s="364"/>
      <c r="F34" s="363" t="s">
        <v>1790</v>
      </c>
      <c r="G34" s="364"/>
      <c r="H34" s="363" t="s">
        <v>1791</v>
      </c>
      <c r="I34" s="364"/>
      <c r="J34" s="363" t="s">
        <v>1792</v>
      </c>
      <c r="K34" s="364"/>
      <c r="L34" s="363" t="s">
        <v>1793</v>
      </c>
      <c r="M34" s="364"/>
      <c r="N34" s="363" t="s">
        <v>2088</v>
      </c>
      <c r="O34" s="364"/>
      <c r="P34" s="365" t="s">
        <v>1788</v>
      </c>
      <c r="Q34" s="36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9" t="s">
        <v>0</v>
      </c>
      <c r="B36" s="17"/>
      <c r="C36" s="18"/>
      <c r="D36" s="14"/>
      <c r="E36" s="356"/>
      <c r="F36" s="14"/>
      <c r="G36" s="356"/>
      <c r="H36" s="14"/>
      <c r="I36" s="356"/>
      <c r="J36" s="14"/>
      <c r="K36" s="356"/>
      <c r="L36" s="14"/>
      <c r="M36" s="356"/>
      <c r="N36" s="14"/>
      <c r="O36" s="356"/>
      <c r="P36" s="14"/>
      <c r="Q36" s="356"/>
    </row>
    <row r="37" spans="1:17" ht="17.100000000000001" customHeight="1" x14ac:dyDescent="0.25">
      <c r="A37" s="360"/>
      <c r="B37" s="19"/>
      <c r="C37" s="20"/>
      <c r="D37" s="15"/>
      <c r="E37" s="357"/>
      <c r="F37" s="15"/>
      <c r="G37" s="357"/>
      <c r="H37" s="15"/>
      <c r="I37" s="357"/>
      <c r="J37" s="15"/>
      <c r="K37" s="357"/>
      <c r="L37" s="15"/>
      <c r="M37" s="357"/>
      <c r="N37" s="15"/>
      <c r="O37" s="357"/>
      <c r="P37" s="15"/>
      <c r="Q37" s="357"/>
    </row>
    <row r="38" spans="1:17" ht="17.100000000000001" customHeight="1" thickBot="1" x14ac:dyDescent="0.3">
      <c r="A38" s="361"/>
      <c r="B38" s="21"/>
      <c r="C38" s="22"/>
      <c r="D38" s="9"/>
      <c r="E38" s="358"/>
      <c r="F38" s="9"/>
      <c r="G38" s="358"/>
      <c r="H38" s="9"/>
      <c r="I38" s="358"/>
      <c r="J38" s="9"/>
      <c r="K38" s="358"/>
      <c r="L38" s="9"/>
      <c r="M38" s="358"/>
      <c r="N38" s="9"/>
      <c r="O38" s="358"/>
      <c r="P38" s="9"/>
      <c r="Q38" s="358"/>
    </row>
    <row r="39" spans="1:17" ht="17.100000000000001" customHeight="1" x14ac:dyDescent="0.25">
      <c r="A39" s="359" t="s">
        <v>2</v>
      </c>
      <c r="B39" s="17"/>
      <c r="C39" s="18"/>
      <c r="D39" s="14"/>
      <c r="E39" s="356"/>
      <c r="F39" s="14"/>
      <c r="G39" s="356"/>
      <c r="H39" s="14"/>
      <c r="I39" s="356"/>
      <c r="J39" s="14"/>
      <c r="K39" s="356"/>
      <c r="L39" s="14"/>
      <c r="M39" s="356"/>
      <c r="N39" s="14"/>
      <c r="O39" s="356"/>
      <c r="P39" s="14"/>
      <c r="Q39" s="356"/>
    </row>
    <row r="40" spans="1:17" ht="17.100000000000001" customHeight="1" x14ac:dyDescent="0.25">
      <c r="A40" s="360"/>
      <c r="B40" s="19"/>
      <c r="C40" s="20"/>
      <c r="D40" s="15"/>
      <c r="E40" s="357"/>
      <c r="F40" s="15"/>
      <c r="G40" s="357"/>
      <c r="H40" s="15"/>
      <c r="I40" s="357"/>
      <c r="J40" s="15"/>
      <c r="K40" s="357"/>
      <c r="L40" s="15"/>
      <c r="M40" s="357"/>
      <c r="N40" s="15"/>
      <c r="O40" s="357"/>
      <c r="P40" s="15"/>
      <c r="Q40" s="357"/>
    </row>
    <row r="41" spans="1:17" ht="17.100000000000001" customHeight="1" thickBot="1" x14ac:dyDescent="0.3">
      <c r="A41" s="361"/>
      <c r="B41" s="21"/>
      <c r="C41" s="22"/>
      <c r="D41" s="9"/>
      <c r="E41" s="358"/>
      <c r="F41" s="9"/>
      <c r="G41" s="358"/>
      <c r="H41" s="9"/>
      <c r="I41" s="358"/>
      <c r="J41" s="9"/>
      <c r="K41" s="358"/>
      <c r="L41" s="9"/>
      <c r="M41" s="358"/>
      <c r="N41" s="9"/>
      <c r="O41" s="358"/>
      <c r="P41" s="9"/>
      <c r="Q41" s="358"/>
    </row>
    <row r="42" spans="1:17" ht="17.100000000000001" customHeight="1" x14ac:dyDescent="0.25">
      <c r="A42" s="359" t="s">
        <v>3</v>
      </c>
      <c r="B42" s="17"/>
      <c r="C42" s="18"/>
      <c r="D42" s="14"/>
      <c r="E42" s="356"/>
      <c r="F42" s="14"/>
      <c r="G42" s="356"/>
      <c r="H42" s="14"/>
      <c r="I42" s="356"/>
      <c r="J42" s="14"/>
      <c r="K42" s="356"/>
      <c r="L42" s="14"/>
      <c r="M42" s="356"/>
      <c r="N42" s="14"/>
      <c r="O42" s="356"/>
      <c r="P42" s="14"/>
      <c r="Q42" s="356"/>
    </row>
    <row r="43" spans="1:17" ht="17.100000000000001" customHeight="1" x14ac:dyDescent="0.25">
      <c r="A43" s="360"/>
      <c r="B43" s="19"/>
      <c r="C43" s="20"/>
      <c r="D43" s="15"/>
      <c r="E43" s="357"/>
      <c r="F43" s="15"/>
      <c r="G43" s="357"/>
      <c r="H43" s="15"/>
      <c r="I43" s="357"/>
      <c r="J43" s="15"/>
      <c r="K43" s="357"/>
      <c r="L43" s="15"/>
      <c r="M43" s="357"/>
      <c r="N43" s="15"/>
      <c r="O43" s="357"/>
      <c r="P43" s="15"/>
      <c r="Q43" s="357"/>
    </row>
    <row r="44" spans="1:17" ht="17.100000000000001" customHeight="1" thickBot="1" x14ac:dyDescent="0.3">
      <c r="A44" s="361"/>
      <c r="B44" s="21"/>
      <c r="C44" s="22"/>
      <c r="D44" s="9"/>
      <c r="E44" s="358"/>
      <c r="F44" s="9"/>
      <c r="G44" s="358"/>
      <c r="H44" s="9"/>
      <c r="I44" s="358"/>
      <c r="J44" s="9"/>
      <c r="K44" s="358"/>
      <c r="L44" s="9"/>
      <c r="M44" s="358"/>
      <c r="N44" s="9"/>
      <c r="O44" s="358"/>
      <c r="P44" s="9"/>
      <c r="Q44" s="358"/>
    </row>
    <row r="45" spans="1:17" ht="17.100000000000001" customHeight="1" x14ac:dyDescent="0.25">
      <c r="A45" s="359" t="s">
        <v>11</v>
      </c>
      <c r="B45" s="17"/>
      <c r="C45" s="18"/>
      <c r="D45" s="14"/>
      <c r="E45" s="356"/>
      <c r="F45" s="14"/>
      <c r="G45" s="356"/>
      <c r="H45" s="14"/>
      <c r="I45" s="356"/>
      <c r="J45" s="14"/>
      <c r="K45" s="356"/>
      <c r="L45" s="14"/>
      <c r="M45" s="356"/>
      <c r="N45" s="14"/>
      <c r="O45" s="356"/>
      <c r="P45" s="14"/>
      <c r="Q45" s="356"/>
    </row>
    <row r="46" spans="1:17" ht="17.100000000000001" customHeight="1" x14ac:dyDescent="0.25">
      <c r="A46" s="360"/>
      <c r="B46" s="19"/>
      <c r="C46" s="20"/>
      <c r="D46" s="15"/>
      <c r="E46" s="357"/>
      <c r="F46" s="15"/>
      <c r="G46" s="357"/>
      <c r="H46" s="15"/>
      <c r="I46" s="357"/>
      <c r="J46" s="15"/>
      <c r="K46" s="357"/>
      <c r="L46" s="15"/>
      <c r="M46" s="357"/>
      <c r="N46" s="15"/>
      <c r="O46" s="357"/>
      <c r="P46" s="15"/>
      <c r="Q46" s="357"/>
    </row>
    <row r="47" spans="1:17" ht="17.100000000000001" customHeight="1" thickBot="1" x14ac:dyDescent="0.3">
      <c r="A47" s="361"/>
      <c r="B47" s="21"/>
      <c r="C47" s="22"/>
      <c r="D47" s="9"/>
      <c r="E47" s="358"/>
      <c r="F47" s="9"/>
      <c r="G47" s="358"/>
      <c r="H47" s="9"/>
      <c r="I47" s="358"/>
      <c r="J47" s="9"/>
      <c r="K47" s="358"/>
      <c r="L47" s="9"/>
      <c r="M47" s="358"/>
      <c r="N47" s="9"/>
      <c r="O47" s="358"/>
      <c r="P47" s="9"/>
      <c r="Q47" s="358"/>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4">
        <f>VLOOKUP(B31,Schlüssel!$A$5:$DF$10,23)</f>
        <v>0</v>
      </c>
      <c r="E51" s="354"/>
      <c r="F51" s="354">
        <f>VLOOKUP(B31,Schlüssel!$A$5:$DF$10,24)</f>
        <v>0</v>
      </c>
      <c r="G51" s="354"/>
      <c r="H51" s="354">
        <f>VLOOKUP(B31,Schlüssel!$A$5:$DF$10,25)</f>
        <v>0</v>
      </c>
      <c r="I51" s="354"/>
      <c r="J51" s="354">
        <f>VLOOKUP(B31,Schlüssel!$A$5:$DF$10,26)</f>
        <v>0</v>
      </c>
      <c r="K51" s="354"/>
      <c r="L51" s="354">
        <f>VLOOKUP(B31,Schlüssel!$A$5:$DF$10,27)</f>
        <v>0</v>
      </c>
      <c r="M51" s="354"/>
      <c r="N51" s="354">
        <f>VLOOKUP(B31,Schlüssel!$A$5:$DF$10,28)</f>
        <v>0</v>
      </c>
      <c r="O51" s="354"/>
      <c r="P51" s="355"/>
      <c r="Q51" s="355"/>
    </row>
    <row r="52" spans="1:31" ht="28.5" customHeight="1" x14ac:dyDescent="0.25">
      <c r="B52" s="4"/>
      <c r="C52" s="1"/>
      <c r="D52" s="351" t="e">
        <f>VLOOKUP(D51,Schlüssel!$A$5:$K$10,2)</f>
        <v>#N/A</v>
      </c>
      <c r="E52" s="352"/>
      <c r="F52" s="351" t="e">
        <f>VLOOKUP(F51,Schlüssel!$A$5:$K$10,2)</f>
        <v>#N/A</v>
      </c>
      <c r="G52" s="352"/>
      <c r="H52" s="351" t="e">
        <f>VLOOKUP(H51,Schlüssel!$A$5:$K$10,2)</f>
        <v>#N/A</v>
      </c>
      <c r="I52" s="352"/>
      <c r="J52" s="351" t="e">
        <f>VLOOKUP(J51,Schlüssel!$A$5:$K$10,2)</f>
        <v>#N/A</v>
      </c>
      <c r="K52" s="352"/>
      <c r="L52" s="351" t="e">
        <f>VLOOKUP(L51,Schlüssel!$A$5:$K$10,2)</f>
        <v>#N/A</v>
      </c>
      <c r="M52" s="352"/>
      <c r="N52" s="351" t="e">
        <f>VLOOKUP(N51,Schlüssel!$A$5:$K$10,2)</f>
        <v>#N/A</v>
      </c>
      <c r="O52" s="352"/>
      <c r="P52" s="353"/>
      <c r="Q52" s="353"/>
    </row>
    <row r="53" spans="1:31" ht="12" customHeight="1" x14ac:dyDescent="0.25">
      <c r="B53" s="4"/>
      <c r="C53" s="1"/>
      <c r="D53" s="350"/>
      <c r="E53" s="350"/>
      <c r="F53" s="350"/>
      <c r="G53" s="350"/>
      <c r="H53" s="350"/>
      <c r="I53" s="350"/>
      <c r="J53" s="350"/>
      <c r="K53" s="350"/>
      <c r="L53" s="350"/>
      <c r="M53" s="350"/>
      <c r="N53" s="350"/>
      <c r="O53" s="350"/>
      <c r="P53" s="307"/>
      <c r="Q53" s="307"/>
    </row>
    <row r="54" spans="1:31" ht="15.9" customHeight="1" x14ac:dyDescent="0.25">
      <c r="B54" s="35" t="s">
        <v>0</v>
      </c>
      <c r="C54" s="36"/>
      <c r="D54" s="348"/>
      <c r="E54" s="348"/>
      <c r="F54" s="348"/>
      <c r="G54" s="348"/>
      <c r="H54" s="348"/>
      <c r="I54" s="348"/>
      <c r="J54" s="348"/>
      <c r="K54" s="348"/>
      <c r="L54" s="348"/>
      <c r="M54" s="348"/>
      <c r="N54" s="348"/>
      <c r="O54" s="348"/>
      <c r="P54" s="349"/>
      <c r="Q54" s="349"/>
    </row>
    <row r="55" spans="1:31" ht="15.9" customHeight="1" x14ac:dyDescent="0.25">
      <c r="B55" s="35" t="s">
        <v>2</v>
      </c>
      <c r="C55" s="36"/>
      <c r="D55" s="348"/>
      <c r="E55" s="348"/>
      <c r="F55" s="348"/>
      <c r="G55" s="348"/>
      <c r="H55" s="348"/>
      <c r="I55" s="348"/>
      <c r="J55" s="348"/>
      <c r="K55" s="348"/>
      <c r="L55" s="348"/>
      <c r="M55" s="348"/>
      <c r="N55" s="348"/>
      <c r="O55" s="348"/>
      <c r="P55" s="349"/>
      <c r="Q55" s="349"/>
    </row>
    <row r="56" spans="1:31" ht="15.9" customHeight="1" x14ac:dyDescent="0.25">
      <c r="B56" s="35" t="s">
        <v>3</v>
      </c>
      <c r="C56" s="36"/>
      <c r="D56" s="348"/>
      <c r="E56" s="348"/>
      <c r="F56" s="348"/>
      <c r="G56" s="348"/>
      <c r="H56" s="348"/>
      <c r="I56" s="348"/>
      <c r="J56" s="348"/>
      <c r="K56" s="348"/>
      <c r="L56" s="348"/>
      <c r="M56" s="348"/>
      <c r="N56" s="348"/>
      <c r="O56" s="348"/>
      <c r="P56" s="349"/>
      <c r="Q56" s="349"/>
    </row>
    <row r="57" spans="1:31" ht="15.9" customHeight="1" x14ac:dyDescent="0.25">
      <c r="B57" s="35" t="s">
        <v>11</v>
      </c>
      <c r="C57" s="36"/>
      <c r="D57" s="348"/>
      <c r="E57" s="348"/>
      <c r="F57" s="348"/>
      <c r="G57" s="348"/>
      <c r="H57" s="348"/>
      <c r="I57" s="348"/>
      <c r="J57" s="348"/>
      <c r="K57" s="348"/>
      <c r="L57" s="348"/>
      <c r="M57" s="348"/>
      <c r="N57" s="348"/>
      <c r="O57" s="348"/>
      <c r="P57" s="349"/>
      <c r="Q57" s="349"/>
    </row>
    <row r="58" spans="1:31" ht="15.9" customHeight="1" x14ac:dyDescent="0.25">
      <c r="B58" s="37" t="s">
        <v>1788</v>
      </c>
      <c r="C58" s="38"/>
      <c r="D58" s="347"/>
      <c r="E58" s="347"/>
      <c r="F58" s="347"/>
      <c r="G58" s="347"/>
      <c r="H58" s="347"/>
      <c r="I58" s="347"/>
      <c r="J58" s="347"/>
      <c r="K58" s="347"/>
      <c r="L58" s="347"/>
      <c r="M58" s="347"/>
      <c r="N58" s="347"/>
      <c r="O58" s="347"/>
      <c r="P58" s="312"/>
      <c r="Q58" s="312"/>
    </row>
    <row r="59" spans="1:31" ht="21" customHeight="1" x14ac:dyDescent="0.4">
      <c r="B59" s="7" t="s">
        <v>1798</v>
      </c>
      <c r="C59" s="30" t="s">
        <v>1782</v>
      </c>
      <c r="D59" s="76" t="str">
        <f>Schlüssel!$C$1</f>
        <v>Landesliga Nord Frauen</v>
      </c>
      <c r="F59" s="25"/>
      <c r="G59" s="25"/>
      <c r="H59" s="25"/>
      <c r="I59" s="25"/>
      <c r="K59" s="29"/>
      <c r="L59" s="362" t="str">
        <f>Schlüssel!$AG$1</f>
        <v>13.10.</v>
      </c>
      <c r="M59" s="362"/>
      <c r="N59" s="362"/>
      <c r="O59" s="362"/>
      <c r="P59" s="362"/>
      <c r="AE59" s="90"/>
    </row>
    <row r="60" spans="1:31" ht="17.25" customHeight="1" thickBot="1" x14ac:dyDescent="0.35">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5">
      <c r="B63" s="40" t="s">
        <v>1</v>
      </c>
      <c r="C63" s="41"/>
      <c r="D63" s="363" t="s">
        <v>1789</v>
      </c>
      <c r="E63" s="364"/>
      <c r="F63" s="363" t="s">
        <v>1790</v>
      </c>
      <c r="G63" s="364"/>
      <c r="H63" s="363" t="s">
        <v>1791</v>
      </c>
      <c r="I63" s="364"/>
      <c r="J63" s="363" t="s">
        <v>1792</v>
      </c>
      <c r="K63" s="364"/>
      <c r="L63" s="363" t="s">
        <v>1793</v>
      </c>
      <c r="M63" s="364"/>
      <c r="N63" s="363" t="s">
        <v>2088</v>
      </c>
      <c r="O63" s="364"/>
      <c r="P63" s="365" t="s">
        <v>1788</v>
      </c>
      <c r="Q63" s="36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9" t="s">
        <v>0</v>
      </c>
      <c r="B65" s="17"/>
      <c r="C65" s="18"/>
      <c r="D65" s="14"/>
      <c r="E65" s="356"/>
      <c r="F65" s="14"/>
      <c r="G65" s="356"/>
      <c r="H65" s="14"/>
      <c r="I65" s="356"/>
      <c r="J65" s="14"/>
      <c r="K65" s="356"/>
      <c r="L65" s="14"/>
      <c r="M65" s="356"/>
      <c r="N65" s="14"/>
      <c r="O65" s="356"/>
      <c r="P65" s="14"/>
      <c r="Q65" s="356"/>
    </row>
    <row r="66" spans="1:17" ht="17.100000000000001" customHeight="1" x14ac:dyDescent="0.25">
      <c r="A66" s="360"/>
      <c r="B66" s="19"/>
      <c r="C66" s="20"/>
      <c r="D66" s="15"/>
      <c r="E66" s="357"/>
      <c r="F66" s="15"/>
      <c r="G66" s="357"/>
      <c r="H66" s="15"/>
      <c r="I66" s="357"/>
      <c r="J66" s="15"/>
      <c r="K66" s="357"/>
      <c r="L66" s="15"/>
      <c r="M66" s="357"/>
      <c r="N66" s="15"/>
      <c r="O66" s="357"/>
      <c r="P66" s="15"/>
      <c r="Q66" s="357"/>
    </row>
    <row r="67" spans="1:17" ht="17.100000000000001" customHeight="1" thickBot="1" x14ac:dyDescent="0.3">
      <c r="A67" s="361"/>
      <c r="B67" s="21"/>
      <c r="C67" s="22"/>
      <c r="D67" s="9"/>
      <c r="E67" s="358"/>
      <c r="F67" s="9"/>
      <c r="G67" s="358"/>
      <c r="H67" s="9"/>
      <c r="I67" s="358"/>
      <c r="J67" s="9"/>
      <c r="K67" s="358"/>
      <c r="L67" s="9"/>
      <c r="M67" s="358"/>
      <c r="N67" s="9"/>
      <c r="O67" s="358"/>
      <c r="P67" s="9"/>
      <c r="Q67" s="358"/>
    </row>
    <row r="68" spans="1:17" ht="17.100000000000001" customHeight="1" x14ac:dyDescent="0.25">
      <c r="A68" s="359" t="s">
        <v>2</v>
      </c>
      <c r="B68" s="17"/>
      <c r="C68" s="18"/>
      <c r="D68" s="14"/>
      <c r="E68" s="356"/>
      <c r="F68" s="14"/>
      <c r="G68" s="356"/>
      <c r="H68" s="14"/>
      <c r="I68" s="356"/>
      <c r="J68" s="14"/>
      <c r="K68" s="356"/>
      <c r="L68" s="14"/>
      <c r="M68" s="356"/>
      <c r="N68" s="14"/>
      <c r="O68" s="356"/>
      <c r="P68" s="14"/>
      <c r="Q68" s="356"/>
    </row>
    <row r="69" spans="1:17" ht="17.100000000000001" customHeight="1" x14ac:dyDescent="0.25">
      <c r="A69" s="360"/>
      <c r="B69" s="19"/>
      <c r="C69" s="20"/>
      <c r="D69" s="15"/>
      <c r="E69" s="357"/>
      <c r="F69" s="15"/>
      <c r="G69" s="357"/>
      <c r="H69" s="15"/>
      <c r="I69" s="357"/>
      <c r="J69" s="15"/>
      <c r="K69" s="357"/>
      <c r="L69" s="15"/>
      <c r="M69" s="357"/>
      <c r="N69" s="15"/>
      <c r="O69" s="357"/>
      <c r="P69" s="15"/>
      <c r="Q69" s="357"/>
    </row>
    <row r="70" spans="1:17" ht="17.100000000000001" customHeight="1" thickBot="1" x14ac:dyDescent="0.3">
      <c r="A70" s="361"/>
      <c r="B70" s="21"/>
      <c r="C70" s="22"/>
      <c r="D70" s="9"/>
      <c r="E70" s="358"/>
      <c r="F70" s="9"/>
      <c r="G70" s="358"/>
      <c r="H70" s="9"/>
      <c r="I70" s="358"/>
      <c r="J70" s="9"/>
      <c r="K70" s="358"/>
      <c r="L70" s="9"/>
      <c r="M70" s="358"/>
      <c r="N70" s="9"/>
      <c r="O70" s="358"/>
      <c r="P70" s="9"/>
      <c r="Q70" s="358"/>
    </row>
    <row r="71" spans="1:17" ht="17.100000000000001" customHeight="1" x14ac:dyDescent="0.25">
      <c r="A71" s="359" t="s">
        <v>3</v>
      </c>
      <c r="B71" s="17"/>
      <c r="C71" s="18"/>
      <c r="D71" s="14"/>
      <c r="E71" s="356"/>
      <c r="F71" s="14"/>
      <c r="G71" s="356"/>
      <c r="H71" s="14"/>
      <c r="I71" s="356"/>
      <c r="J71" s="14"/>
      <c r="K71" s="356"/>
      <c r="L71" s="14"/>
      <c r="M71" s="356"/>
      <c r="N71" s="14"/>
      <c r="O71" s="356"/>
      <c r="P71" s="14"/>
      <c r="Q71" s="356"/>
    </row>
    <row r="72" spans="1:17" ht="17.100000000000001" customHeight="1" x14ac:dyDescent="0.25">
      <c r="A72" s="360"/>
      <c r="B72" s="19"/>
      <c r="C72" s="20"/>
      <c r="D72" s="15"/>
      <c r="E72" s="357"/>
      <c r="F72" s="15"/>
      <c r="G72" s="357"/>
      <c r="H72" s="15"/>
      <c r="I72" s="357"/>
      <c r="J72" s="15"/>
      <c r="K72" s="357"/>
      <c r="L72" s="15"/>
      <c r="M72" s="357"/>
      <c r="N72" s="15"/>
      <c r="O72" s="357"/>
      <c r="P72" s="15"/>
      <c r="Q72" s="357"/>
    </row>
    <row r="73" spans="1:17" ht="17.100000000000001" customHeight="1" thickBot="1" x14ac:dyDescent="0.3">
      <c r="A73" s="361"/>
      <c r="B73" s="21"/>
      <c r="C73" s="22"/>
      <c r="D73" s="9"/>
      <c r="E73" s="358"/>
      <c r="F73" s="9"/>
      <c r="G73" s="358"/>
      <c r="H73" s="9"/>
      <c r="I73" s="358"/>
      <c r="J73" s="9"/>
      <c r="K73" s="358"/>
      <c r="L73" s="9"/>
      <c r="M73" s="358"/>
      <c r="N73" s="9"/>
      <c r="O73" s="358"/>
      <c r="P73" s="9"/>
      <c r="Q73" s="358"/>
    </row>
    <row r="74" spans="1:17" ht="17.100000000000001" customHeight="1" x14ac:dyDescent="0.25">
      <c r="A74" s="359" t="s">
        <v>11</v>
      </c>
      <c r="B74" s="17"/>
      <c r="C74" s="18"/>
      <c r="D74" s="14"/>
      <c r="E74" s="356"/>
      <c r="F74" s="14"/>
      <c r="G74" s="356"/>
      <c r="H74" s="14"/>
      <c r="I74" s="356"/>
      <c r="J74" s="14"/>
      <c r="K74" s="356"/>
      <c r="L74" s="14"/>
      <c r="M74" s="356"/>
      <c r="N74" s="14"/>
      <c r="O74" s="356"/>
      <c r="P74" s="14"/>
      <c r="Q74" s="356"/>
    </row>
    <row r="75" spans="1:17" ht="17.100000000000001" customHeight="1" x14ac:dyDescent="0.25">
      <c r="A75" s="360"/>
      <c r="B75" s="19"/>
      <c r="C75" s="20"/>
      <c r="D75" s="15"/>
      <c r="E75" s="357"/>
      <c r="F75" s="15"/>
      <c r="G75" s="357"/>
      <c r="H75" s="15"/>
      <c r="I75" s="357"/>
      <c r="J75" s="15"/>
      <c r="K75" s="357"/>
      <c r="L75" s="15"/>
      <c r="M75" s="357"/>
      <c r="N75" s="15"/>
      <c r="O75" s="357"/>
      <c r="P75" s="15"/>
      <c r="Q75" s="357"/>
    </row>
    <row r="76" spans="1:17" ht="17.100000000000001" customHeight="1" thickBot="1" x14ac:dyDescent="0.3">
      <c r="A76" s="361"/>
      <c r="B76" s="21"/>
      <c r="C76" s="22"/>
      <c r="D76" s="9"/>
      <c r="E76" s="358"/>
      <c r="F76" s="9"/>
      <c r="G76" s="358"/>
      <c r="H76" s="9"/>
      <c r="I76" s="358"/>
      <c r="J76" s="9"/>
      <c r="K76" s="358"/>
      <c r="L76" s="9"/>
      <c r="M76" s="358"/>
      <c r="N76" s="9"/>
      <c r="O76" s="358"/>
      <c r="P76" s="9"/>
      <c r="Q76" s="358"/>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4">
        <f>VLOOKUP(B60,Schlüssel!$A$5:$DF$10,23)</f>
        <v>1</v>
      </c>
      <c r="E80" s="354"/>
      <c r="F80" s="354">
        <f>VLOOKUP(B60,Schlüssel!$A$5:$DF$10,24)</f>
        <v>1</v>
      </c>
      <c r="G80" s="354"/>
      <c r="H80" s="354">
        <f>VLOOKUP(B60,Schlüssel!$A$5:$DF$10,25)</f>
        <v>1</v>
      </c>
      <c r="I80" s="354"/>
      <c r="J80" s="354">
        <f>VLOOKUP(B60,Schlüssel!$A$5:$DF$10,26)</f>
        <v>1</v>
      </c>
      <c r="K80" s="354"/>
      <c r="L80" s="354">
        <f>VLOOKUP(B60,Schlüssel!$A$5:$DF$10,27)</f>
        <v>1</v>
      </c>
      <c r="M80" s="354"/>
      <c r="N80" s="354">
        <f>VLOOKUP(B60,Schlüssel!$A$5:$DF$10,28)</f>
        <v>1</v>
      </c>
      <c r="O80" s="354"/>
      <c r="P80" s="355"/>
      <c r="Q80" s="355"/>
    </row>
    <row r="81" spans="2:17" ht="28.5" customHeight="1" x14ac:dyDescent="0.25">
      <c r="B81" s="4"/>
      <c r="C81" s="1"/>
      <c r="D81" s="351" t="str">
        <f>VLOOKUP(D80,Schlüssel!$A$5:$K$10,2)</f>
        <v>Kleeblatt Fürth</v>
      </c>
      <c r="E81" s="352"/>
      <c r="F81" s="351" t="str">
        <f>VLOOKUP(F80,Schlüssel!$A$5:$K$10,2)</f>
        <v>Kleeblatt Fürth</v>
      </c>
      <c r="G81" s="352"/>
      <c r="H81" s="351" t="str">
        <f>VLOOKUP(H80,Schlüssel!$A$5:$K$10,2)</f>
        <v>Kleeblatt Fürth</v>
      </c>
      <c r="I81" s="352"/>
      <c r="J81" s="351" t="str">
        <f>VLOOKUP(J80,Schlüssel!$A$5:$K$10,2)</f>
        <v>Kleeblatt Fürth</v>
      </c>
      <c r="K81" s="352"/>
      <c r="L81" s="351" t="str">
        <f>VLOOKUP(L80,Schlüssel!$A$5:$K$10,2)</f>
        <v>Kleeblatt Fürth</v>
      </c>
      <c r="M81" s="352"/>
      <c r="N81" s="351" t="str">
        <f>VLOOKUP(N80,Schlüssel!$A$5:$K$10,2)</f>
        <v>Kleeblatt Fürth</v>
      </c>
      <c r="O81" s="352"/>
      <c r="P81" s="353"/>
      <c r="Q81" s="353"/>
    </row>
    <row r="82" spans="2:17" ht="12" customHeight="1" x14ac:dyDescent="0.25">
      <c r="B82" s="4"/>
      <c r="C82" s="1"/>
      <c r="D82" s="350"/>
      <c r="E82" s="350"/>
      <c r="F82" s="350"/>
      <c r="G82" s="350"/>
      <c r="H82" s="350"/>
      <c r="I82" s="350"/>
      <c r="J82" s="350"/>
      <c r="K82" s="350"/>
      <c r="L82" s="350"/>
      <c r="M82" s="350"/>
      <c r="N82" s="350"/>
      <c r="O82" s="350"/>
      <c r="P82" s="307"/>
      <c r="Q82" s="307"/>
    </row>
    <row r="83" spans="2:17" ht="15.9" customHeight="1" x14ac:dyDescent="0.25">
      <c r="B83" s="35" t="s">
        <v>0</v>
      </c>
      <c r="C83" s="36"/>
      <c r="D83" s="348"/>
      <c r="E83" s="348"/>
      <c r="F83" s="348"/>
      <c r="G83" s="348"/>
      <c r="H83" s="348"/>
      <c r="I83" s="348"/>
      <c r="J83" s="348"/>
      <c r="K83" s="348"/>
      <c r="L83" s="348"/>
      <c r="M83" s="348"/>
      <c r="N83" s="348"/>
      <c r="O83" s="348"/>
      <c r="P83" s="349"/>
      <c r="Q83" s="349"/>
    </row>
    <row r="84" spans="2:17" ht="15.9" customHeight="1" x14ac:dyDescent="0.25">
      <c r="B84" s="35" t="s">
        <v>2</v>
      </c>
      <c r="C84" s="36"/>
      <c r="D84" s="348"/>
      <c r="E84" s="348"/>
      <c r="F84" s="348"/>
      <c r="G84" s="348"/>
      <c r="H84" s="348"/>
      <c r="I84" s="348"/>
      <c r="J84" s="348"/>
      <c r="K84" s="348"/>
      <c r="L84" s="348"/>
      <c r="M84" s="348"/>
      <c r="N84" s="348"/>
      <c r="O84" s="348"/>
      <c r="P84" s="349"/>
      <c r="Q84" s="349"/>
    </row>
    <row r="85" spans="2:17" ht="15.9" customHeight="1" x14ac:dyDescent="0.25">
      <c r="B85" s="35" t="s">
        <v>3</v>
      </c>
      <c r="C85" s="36"/>
      <c r="D85" s="348"/>
      <c r="E85" s="348"/>
      <c r="F85" s="348"/>
      <c r="G85" s="348"/>
      <c r="H85" s="348"/>
      <c r="I85" s="348"/>
      <c r="J85" s="348"/>
      <c r="K85" s="348"/>
      <c r="L85" s="348"/>
      <c r="M85" s="348"/>
      <c r="N85" s="348"/>
      <c r="O85" s="348"/>
      <c r="P85" s="349"/>
      <c r="Q85" s="349"/>
    </row>
    <row r="86" spans="2:17" ht="15.9" customHeight="1" x14ac:dyDescent="0.25">
      <c r="B86" s="35" t="s">
        <v>11</v>
      </c>
      <c r="C86" s="36"/>
      <c r="D86" s="348"/>
      <c r="E86" s="348"/>
      <c r="F86" s="348"/>
      <c r="G86" s="348"/>
      <c r="H86" s="348"/>
      <c r="I86" s="348"/>
      <c r="J86" s="348"/>
      <c r="K86" s="348"/>
      <c r="L86" s="348"/>
      <c r="M86" s="348"/>
      <c r="N86" s="348"/>
      <c r="O86" s="348"/>
      <c r="P86" s="349"/>
      <c r="Q86" s="349"/>
    </row>
    <row r="87" spans="2:17" ht="15.9" customHeight="1" x14ac:dyDescent="0.25">
      <c r="B87" s="37" t="s">
        <v>1788</v>
      </c>
      <c r="C87" s="38"/>
      <c r="D87" s="347"/>
      <c r="E87" s="347"/>
      <c r="F87" s="347"/>
      <c r="G87" s="347"/>
      <c r="H87" s="347"/>
      <c r="I87" s="347"/>
      <c r="J87" s="347"/>
      <c r="K87" s="347"/>
      <c r="L87" s="347"/>
      <c r="M87" s="347"/>
      <c r="N87" s="347"/>
      <c r="O87" s="347"/>
      <c r="P87" s="312"/>
      <c r="Q87" s="312"/>
    </row>
  </sheetData>
  <sheetProtection password="D19C" sheet="1" formatCells="0" formatColumns="0" formatRows="0"/>
  <mergeCells count="288">
    <mergeCell ref="N34:O34"/>
    <mergeCell ref="O36:O38"/>
    <mergeCell ref="O39:O41"/>
    <mergeCell ref="O42:O44"/>
    <mergeCell ref="L30:P30"/>
    <mergeCell ref="M39:M41"/>
    <mergeCell ref="P29:Q29"/>
    <mergeCell ref="P28:Q28"/>
    <mergeCell ref="O45:O47"/>
    <mergeCell ref="Q36:Q38"/>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39:A41"/>
    <mergeCell ref="E39:E41"/>
    <mergeCell ref="G39:G41"/>
    <mergeCell ref="I39:I41"/>
    <mergeCell ref="K39:K41"/>
    <mergeCell ref="Q39:Q41"/>
    <mergeCell ref="A36:A38"/>
    <mergeCell ref="E36:E38"/>
    <mergeCell ref="G36:G38"/>
    <mergeCell ref="I36:I38"/>
    <mergeCell ref="K36:K38"/>
    <mergeCell ref="M36:M38"/>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3.2" x14ac:dyDescent="0.25"/>
  <cols>
    <col min="1" max="1" width="4.44140625" style="51"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8.44140625" customWidth="1"/>
    <col min="15" max="15" width="6.5546875" customWidth="1"/>
    <col min="16" max="17" width="10.88671875"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customWidth="1"/>
    <col min="54" max="54" width="5.44140625" style="223" customWidth="1"/>
    <col min="55" max="55" width="5.5546875" style="223" customWidth="1"/>
    <col min="56" max="56" width="6.44140625" style="223" customWidth="1"/>
    <col min="57" max="57" width="5.44140625" style="223" customWidth="1"/>
    <col min="58" max="58" width="6" style="223" customWidth="1"/>
    <col min="59" max="59" width="8.44140625" style="223" customWidth="1"/>
    <col min="60" max="65" width="4.44140625" style="223" customWidth="1"/>
    <col min="66" max="66" width="14.5546875" style="223" customWidth="1"/>
    <col min="67" max="67" width="5.44140625" style="223" customWidth="1"/>
    <col min="68" max="68" width="9.44140625" style="223" customWidth="1"/>
    <col min="69" max="69" width="11" style="223" customWidth="1"/>
    <col min="70" max="70" width="17.44140625" style="223" customWidth="1"/>
    <col min="71" max="72" width="5.44140625" style="223" customWidth="1"/>
    <col min="73" max="73" width="7.5546875" style="223" customWidth="1"/>
    <col min="74" max="74" width="11.44140625" style="223" customWidth="1"/>
    <col min="75" max="75" width="5.44140625" style="223" customWidth="1"/>
    <col min="76"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80" t="str">
        <f>AD1</f>
        <v>13.10.</v>
      </c>
      <c r="N1" s="380"/>
      <c r="O1" s="380"/>
      <c r="P1" s="381"/>
      <c r="Q1" s="381"/>
      <c r="R1" s="381"/>
      <c r="S1" s="7" t="s">
        <v>1798</v>
      </c>
      <c r="T1" s="25"/>
      <c r="U1" s="30" t="s">
        <v>1782</v>
      </c>
      <c r="V1" s="76" t="str">
        <f>Schlüssel!$C$1</f>
        <v>Landesliga Nord Frauen</v>
      </c>
      <c r="X1" s="25"/>
      <c r="Y1" s="25"/>
      <c r="Z1" s="25"/>
      <c r="AA1" s="25"/>
      <c r="AC1" s="29"/>
      <c r="AD1" s="362" t="str">
        <f>Schlüssel!$AG$1</f>
        <v>13.10.</v>
      </c>
      <c r="AE1" s="362"/>
      <c r="AF1" s="362"/>
      <c r="AG1" s="362"/>
      <c r="AH1" s="362"/>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5">
      <c r="B5" s="40" t="s">
        <v>1</v>
      </c>
      <c r="C5" s="41"/>
      <c r="D5" s="363" t="s">
        <v>1789</v>
      </c>
      <c r="E5" s="364"/>
      <c r="F5" s="363" t="s">
        <v>1790</v>
      </c>
      <c r="G5" s="364"/>
      <c r="H5" s="363" t="s">
        <v>1791</v>
      </c>
      <c r="I5" s="364"/>
      <c r="J5" s="363" t="s">
        <v>1792</v>
      </c>
      <c r="K5" s="364"/>
      <c r="L5" s="363" t="s">
        <v>1793</v>
      </c>
      <c r="M5" s="364"/>
      <c r="N5" s="365" t="s">
        <v>1788</v>
      </c>
      <c r="O5" s="366"/>
      <c r="S5" s="40" t="s">
        <v>1</v>
      </c>
      <c r="T5" s="41"/>
      <c r="U5" s="363" t="s">
        <v>1789</v>
      </c>
      <c r="V5" s="364"/>
      <c r="W5" s="363" t="s">
        <v>1790</v>
      </c>
      <c r="X5" s="364"/>
      <c r="Y5" s="363" t="s">
        <v>1791</v>
      </c>
      <c r="Z5" s="364"/>
      <c r="AA5" s="363" t="s">
        <v>1792</v>
      </c>
      <c r="AB5" s="364"/>
      <c r="AC5" s="363" t="s">
        <v>1793</v>
      </c>
      <c r="AD5" s="368"/>
      <c r="AE5" s="363" t="s">
        <v>2088</v>
      </c>
      <c r="AF5" s="368"/>
      <c r="AG5" s="367" t="s">
        <v>1788</v>
      </c>
      <c r="AH5" s="36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7" t="s">
        <v>0</v>
      </c>
      <c r="B7" s="17" t="str">
        <f>IF(S7=0,"",S7)</f>
        <v/>
      </c>
      <c r="C7" s="18" t="str">
        <f>IF(T7=0,"",T7)</f>
        <v/>
      </c>
      <c r="D7" s="14">
        <f>IF(U7=0,"",U7)</f>
        <v>111</v>
      </c>
      <c r="E7" s="356">
        <f>IF(V7="","",V7)</f>
        <v>0.5</v>
      </c>
      <c r="F7" s="14" t="str">
        <f t="shared" ref="F7:F20" si="0">IF(W7=0,"",W7)</f>
        <v/>
      </c>
      <c r="G7" s="356">
        <f>IF(X7="","",X7)</f>
        <v>0</v>
      </c>
      <c r="H7" s="14" t="str">
        <f t="shared" ref="H7:H20" si="1">IF(Y7=0,"",Y7)</f>
        <v/>
      </c>
      <c r="I7" s="356">
        <f>IF(Z7="","",Z7)</f>
        <v>0</v>
      </c>
      <c r="J7" s="14" t="str">
        <f t="shared" ref="J7:J20" si="2">IF(AA7=0,"",AA7)</f>
        <v/>
      </c>
      <c r="K7" s="356">
        <f>IF(AB7="","",AB7)</f>
        <v>0</v>
      </c>
      <c r="L7" s="14" t="str">
        <f t="shared" ref="L7:L20" si="3">IF(AC7=0,"",AC7)</f>
        <v/>
      </c>
      <c r="M7" s="356">
        <f>IF(AD7="","",AD7)</f>
        <v>0</v>
      </c>
      <c r="N7" s="14">
        <f t="shared" ref="N7:N20" si="4">IF(AG7=0,"",AG7)</f>
        <v>111</v>
      </c>
      <c r="O7" s="356">
        <f>IF(AH7="","",AH7)</f>
        <v>0.5</v>
      </c>
      <c r="R7" s="359"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8"/>
      <c r="B8" s="19" t="str">
        <f t="shared" ref="B8:D20" si="21">IF(S8=0,"",S8)</f>
        <v/>
      </c>
      <c r="C8" s="20" t="str">
        <f t="shared" si="21"/>
        <v/>
      </c>
      <c r="D8" s="15" t="str">
        <f t="shared" si="21"/>
        <v/>
      </c>
      <c r="E8" s="357"/>
      <c r="F8" s="15" t="str">
        <f t="shared" si="0"/>
        <v/>
      </c>
      <c r="G8" s="357"/>
      <c r="H8" s="15" t="str">
        <f t="shared" si="1"/>
        <v/>
      </c>
      <c r="I8" s="357"/>
      <c r="J8" s="15" t="str">
        <f t="shared" si="2"/>
        <v/>
      </c>
      <c r="K8" s="357"/>
      <c r="L8" s="15" t="str">
        <f t="shared" si="3"/>
        <v/>
      </c>
      <c r="M8" s="357"/>
      <c r="N8" s="15" t="str">
        <f t="shared" si="4"/>
        <v/>
      </c>
      <c r="O8" s="357"/>
      <c r="R8" s="360"/>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9"/>
      <c r="B9" s="21" t="str">
        <f t="shared" si="21"/>
        <v/>
      </c>
      <c r="C9" s="22" t="str">
        <f t="shared" si="21"/>
        <v/>
      </c>
      <c r="D9" s="9" t="str">
        <f t="shared" si="21"/>
        <v/>
      </c>
      <c r="E9" s="358"/>
      <c r="F9" s="9" t="str">
        <f t="shared" si="0"/>
        <v/>
      </c>
      <c r="G9" s="358"/>
      <c r="H9" s="9" t="str">
        <f t="shared" si="1"/>
        <v/>
      </c>
      <c r="I9" s="358"/>
      <c r="J9" s="9" t="str">
        <f t="shared" si="2"/>
        <v/>
      </c>
      <c r="K9" s="358"/>
      <c r="L9" s="9" t="str">
        <f t="shared" si="3"/>
        <v/>
      </c>
      <c r="M9" s="358"/>
      <c r="N9" s="9" t="str">
        <f t="shared" si="4"/>
        <v/>
      </c>
      <c r="O9" s="358"/>
      <c r="R9" s="361"/>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5">
      <c r="A10" s="377" t="s">
        <v>2</v>
      </c>
      <c r="B10" s="17" t="str">
        <f t="shared" si="21"/>
        <v/>
      </c>
      <c r="C10" s="18" t="str">
        <f t="shared" si="21"/>
        <v/>
      </c>
      <c r="D10" s="14" t="str">
        <f t="shared" si="21"/>
        <v/>
      </c>
      <c r="E10" s="356">
        <f>IF(V10="","",V10)</f>
        <v>0</v>
      </c>
      <c r="F10" s="14" t="str">
        <f t="shared" si="0"/>
        <v/>
      </c>
      <c r="G10" s="356">
        <f>IF(X10="","",X10)</f>
        <v>0</v>
      </c>
      <c r="H10" s="14" t="str">
        <f t="shared" si="1"/>
        <v/>
      </c>
      <c r="I10" s="356">
        <f>IF(Z10="","",Z10)</f>
        <v>0</v>
      </c>
      <c r="J10" s="14" t="str">
        <f t="shared" si="2"/>
        <v/>
      </c>
      <c r="K10" s="356">
        <f>IF(AB10="","",AB10)</f>
        <v>0</v>
      </c>
      <c r="L10" s="14" t="str">
        <f t="shared" si="3"/>
        <v/>
      </c>
      <c r="M10" s="356">
        <f>IF(AD10="","",AD10)</f>
        <v>0</v>
      </c>
      <c r="N10" s="14" t="str">
        <f t="shared" si="4"/>
        <v/>
      </c>
      <c r="O10" s="356">
        <f>IF(AH10="","",AH10)</f>
        <v>0</v>
      </c>
      <c r="R10" s="359"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5">
      <c r="A11" s="378"/>
      <c r="B11" s="19" t="str">
        <f t="shared" si="21"/>
        <v/>
      </c>
      <c r="C11" s="20" t="str">
        <f t="shared" si="21"/>
        <v/>
      </c>
      <c r="D11" s="15" t="str">
        <f t="shared" si="21"/>
        <v/>
      </c>
      <c r="E11" s="357"/>
      <c r="F11" s="15" t="str">
        <f t="shared" si="0"/>
        <v/>
      </c>
      <c r="G11" s="357"/>
      <c r="H11" s="15" t="str">
        <f t="shared" si="1"/>
        <v/>
      </c>
      <c r="I11" s="357"/>
      <c r="J11" s="15" t="str">
        <f t="shared" si="2"/>
        <v/>
      </c>
      <c r="K11" s="357"/>
      <c r="L11" s="15" t="str">
        <f t="shared" si="3"/>
        <v/>
      </c>
      <c r="M11" s="357"/>
      <c r="N11" s="15" t="str">
        <f t="shared" si="4"/>
        <v/>
      </c>
      <c r="O11" s="357"/>
      <c r="R11" s="360"/>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9"/>
      <c r="B12" s="21" t="str">
        <f t="shared" si="21"/>
        <v/>
      </c>
      <c r="C12" s="22" t="str">
        <f t="shared" si="21"/>
        <v/>
      </c>
      <c r="D12" s="9" t="str">
        <f t="shared" si="21"/>
        <v/>
      </c>
      <c r="E12" s="358"/>
      <c r="F12" s="9" t="str">
        <f t="shared" si="0"/>
        <v/>
      </c>
      <c r="G12" s="358"/>
      <c r="H12" s="9" t="str">
        <f t="shared" si="1"/>
        <v/>
      </c>
      <c r="I12" s="358"/>
      <c r="J12" s="9" t="str">
        <f t="shared" si="2"/>
        <v/>
      </c>
      <c r="K12" s="358"/>
      <c r="L12" s="9" t="str">
        <f t="shared" si="3"/>
        <v/>
      </c>
      <c r="M12" s="358"/>
      <c r="N12" s="9" t="str">
        <f t="shared" si="4"/>
        <v/>
      </c>
      <c r="O12" s="358"/>
      <c r="R12" s="361"/>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5">
      <c r="A13" s="377" t="s">
        <v>3</v>
      </c>
      <c r="B13" s="17" t="str">
        <f t="shared" si="21"/>
        <v/>
      </c>
      <c r="C13" s="18" t="str">
        <f t="shared" si="21"/>
        <v/>
      </c>
      <c r="D13" s="14" t="str">
        <f t="shared" si="21"/>
        <v/>
      </c>
      <c r="E13" s="356">
        <f>IF(V13="","",V13)</f>
        <v>0</v>
      </c>
      <c r="F13" s="14" t="str">
        <f t="shared" si="0"/>
        <v/>
      </c>
      <c r="G13" s="356">
        <f>IF(X13="","",X13)</f>
        <v>0</v>
      </c>
      <c r="H13" s="14" t="str">
        <f t="shared" si="1"/>
        <v/>
      </c>
      <c r="I13" s="356">
        <f>IF(Z13="","",Z13)</f>
        <v>0</v>
      </c>
      <c r="J13" s="14" t="str">
        <f t="shared" si="2"/>
        <v/>
      </c>
      <c r="K13" s="356">
        <f>IF(AB13="","",AB13)</f>
        <v>0</v>
      </c>
      <c r="L13" s="14" t="str">
        <f t="shared" si="3"/>
        <v/>
      </c>
      <c r="M13" s="356">
        <f>IF(AD13="","",AD13)</f>
        <v>0</v>
      </c>
      <c r="N13" s="14" t="str">
        <f t="shared" si="4"/>
        <v/>
      </c>
      <c r="O13" s="356">
        <f>IF(AH13="","",AH13)</f>
        <v>0</v>
      </c>
      <c r="R13" s="359"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8"/>
      <c r="B14" s="19" t="str">
        <f t="shared" si="21"/>
        <v/>
      </c>
      <c r="C14" s="20" t="str">
        <f t="shared" si="21"/>
        <v/>
      </c>
      <c r="D14" s="15" t="str">
        <f t="shared" si="21"/>
        <v/>
      </c>
      <c r="E14" s="357"/>
      <c r="F14" s="15" t="str">
        <f t="shared" si="0"/>
        <v/>
      </c>
      <c r="G14" s="357"/>
      <c r="H14" s="15" t="str">
        <f t="shared" si="1"/>
        <v/>
      </c>
      <c r="I14" s="357"/>
      <c r="J14" s="15" t="str">
        <f t="shared" si="2"/>
        <v/>
      </c>
      <c r="K14" s="357"/>
      <c r="L14" s="15" t="str">
        <f t="shared" si="3"/>
        <v/>
      </c>
      <c r="M14" s="357"/>
      <c r="N14" s="15" t="str">
        <f t="shared" si="4"/>
        <v/>
      </c>
      <c r="O14" s="357"/>
      <c r="R14" s="360"/>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3">
      <c r="A15" s="379"/>
      <c r="B15" s="21" t="str">
        <f t="shared" si="21"/>
        <v/>
      </c>
      <c r="C15" s="22" t="str">
        <f t="shared" si="21"/>
        <v/>
      </c>
      <c r="D15" s="9" t="str">
        <f t="shared" si="21"/>
        <v/>
      </c>
      <c r="E15" s="358"/>
      <c r="F15" s="9" t="str">
        <f t="shared" si="0"/>
        <v/>
      </c>
      <c r="G15" s="358"/>
      <c r="H15" s="9" t="str">
        <f t="shared" si="1"/>
        <v/>
      </c>
      <c r="I15" s="358"/>
      <c r="J15" s="9" t="str">
        <f t="shared" si="2"/>
        <v/>
      </c>
      <c r="K15" s="358"/>
      <c r="L15" s="9" t="str">
        <f t="shared" si="3"/>
        <v/>
      </c>
      <c r="M15" s="358"/>
      <c r="N15" s="9" t="str">
        <f t="shared" si="4"/>
        <v/>
      </c>
      <c r="O15" s="358"/>
      <c r="R15" s="361"/>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7" t="s">
        <v>11</v>
      </c>
      <c r="B16" s="17" t="str">
        <f>IF(S16=0,"",S16)</f>
        <v/>
      </c>
      <c r="C16" s="18" t="str">
        <f t="shared" si="21"/>
        <v/>
      </c>
      <c r="D16" s="14" t="str">
        <f t="shared" si="21"/>
        <v/>
      </c>
      <c r="E16" s="356">
        <f>IF(V16="","",V16)</f>
        <v>0</v>
      </c>
      <c r="F16" s="14" t="str">
        <f t="shared" si="0"/>
        <v/>
      </c>
      <c r="G16" s="356">
        <f>IF(X16="","",X16)</f>
        <v>0</v>
      </c>
      <c r="H16" s="14" t="str">
        <f t="shared" si="1"/>
        <v/>
      </c>
      <c r="I16" s="356">
        <f>IF(Z16="","",Z16)</f>
        <v>0</v>
      </c>
      <c r="J16" s="14" t="str">
        <f t="shared" si="2"/>
        <v/>
      </c>
      <c r="K16" s="356">
        <f>IF(AB16="","",AB16)</f>
        <v>0</v>
      </c>
      <c r="L16" s="14" t="str">
        <f t="shared" si="3"/>
        <v/>
      </c>
      <c r="M16" s="356">
        <f>IF(AD16="","",AD16)</f>
        <v>0</v>
      </c>
      <c r="N16" s="14" t="str">
        <f t="shared" si="4"/>
        <v/>
      </c>
      <c r="O16" s="356">
        <f>IF(AH16="","",AH16)</f>
        <v>0</v>
      </c>
      <c r="R16" s="359"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8"/>
      <c r="B17" s="19" t="str">
        <f>IF(S17=0,"",S17)</f>
        <v/>
      </c>
      <c r="C17" s="20" t="str">
        <f t="shared" si="21"/>
        <v/>
      </c>
      <c r="D17" s="15" t="str">
        <f t="shared" si="21"/>
        <v/>
      </c>
      <c r="E17" s="357"/>
      <c r="F17" s="15" t="str">
        <f t="shared" si="0"/>
        <v/>
      </c>
      <c r="G17" s="357"/>
      <c r="H17" s="15" t="str">
        <f t="shared" si="1"/>
        <v/>
      </c>
      <c r="I17" s="357"/>
      <c r="J17" s="15" t="str">
        <f t="shared" si="2"/>
        <v/>
      </c>
      <c r="K17" s="357"/>
      <c r="L17" s="15" t="str">
        <f t="shared" si="3"/>
        <v/>
      </c>
      <c r="M17" s="357"/>
      <c r="N17" s="15" t="str">
        <f t="shared" si="4"/>
        <v/>
      </c>
      <c r="O17" s="357"/>
      <c r="R17" s="360"/>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3">
      <c r="A18" s="379"/>
      <c r="B18" s="21" t="str">
        <f>IF(S18=0,"",S18)</f>
        <v/>
      </c>
      <c r="C18" s="22" t="str">
        <f t="shared" si="21"/>
        <v/>
      </c>
      <c r="D18" s="9" t="str">
        <f t="shared" si="21"/>
        <v/>
      </c>
      <c r="E18" s="358"/>
      <c r="F18" s="9" t="str">
        <f t="shared" si="0"/>
        <v/>
      </c>
      <c r="G18" s="358"/>
      <c r="H18" s="9" t="str">
        <f t="shared" si="1"/>
        <v/>
      </c>
      <c r="I18" s="358"/>
      <c r="J18" s="9" t="str">
        <f t="shared" si="2"/>
        <v/>
      </c>
      <c r="K18" s="358"/>
      <c r="L18" s="9" t="str">
        <f t="shared" si="3"/>
        <v/>
      </c>
      <c r="M18" s="358"/>
      <c r="N18" s="9" t="str">
        <f t="shared" si="4"/>
        <v/>
      </c>
      <c r="O18" s="358"/>
      <c r="R18" s="361"/>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54">
        <f t="shared" si="24"/>
        <v>3</v>
      </c>
      <c r="E22" s="354" t="str">
        <f t="shared" si="24"/>
        <v/>
      </c>
      <c r="F22" s="354">
        <f t="shared" si="24"/>
        <v>3</v>
      </c>
      <c r="G22" s="354" t="str">
        <f t="shared" si="24"/>
        <v/>
      </c>
      <c r="H22" s="354">
        <f t="shared" si="24"/>
        <v>3</v>
      </c>
      <c r="I22" s="354" t="str">
        <f t="shared" si="24"/>
        <v/>
      </c>
      <c r="J22" s="354">
        <f t="shared" si="24"/>
        <v>3</v>
      </c>
      <c r="K22" s="354" t="str">
        <f t="shared" si="24"/>
        <v/>
      </c>
      <c r="L22" s="354">
        <f t="shared" ref="L22:M24" si="25">IF(AC22=0,"",AC22)</f>
        <v>3</v>
      </c>
      <c r="M22" s="354" t="str">
        <f t="shared" si="25"/>
        <v/>
      </c>
      <c r="N22" s="355"/>
      <c r="O22" s="355"/>
      <c r="S22" s="13" t="s">
        <v>1786</v>
      </c>
      <c r="T22" s="5" t="s">
        <v>1787</v>
      </c>
      <c r="U22" s="373">
        <f>VLOOKUP($S2,Schlüssel!$A$5:$CX$10,23)</f>
        <v>3</v>
      </c>
      <c r="V22" s="374"/>
      <c r="W22" s="373">
        <f>VLOOKUP($S2,Schlüssel!$A$5:$DQ$10,24)</f>
        <v>3</v>
      </c>
      <c r="X22" s="374"/>
      <c r="Y22" s="373">
        <f>VLOOKUP($S2,Schlüssel!$A$5:$DQ$10,25)</f>
        <v>3</v>
      </c>
      <c r="Z22" s="374"/>
      <c r="AA22" s="373">
        <f>VLOOKUP($S2,Schlüssel!$A$5:$DQ$10,26)</f>
        <v>3</v>
      </c>
      <c r="AB22" s="374"/>
      <c r="AC22" s="373">
        <f>VLOOKUP($S2,Schlüssel!$A$5:$DQ$10,27)</f>
        <v>3</v>
      </c>
      <c r="AD22" s="374"/>
      <c r="AE22" s="373">
        <f>VLOOKUP($S2,Schlüssel!$A$5:$DQ$10,28)</f>
        <v>3</v>
      </c>
      <c r="AF22" s="374"/>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1" t="str">
        <f t="shared" si="24"/>
        <v>Mainauenbowler Bayreuth Land</v>
      </c>
      <c r="E23" s="352" t="str">
        <f t="shared" si="24"/>
        <v/>
      </c>
      <c r="F23" s="351" t="str">
        <f t="shared" si="24"/>
        <v>Mainauenbowler Bayreuth Land</v>
      </c>
      <c r="G23" s="352" t="str">
        <f t="shared" si="24"/>
        <v/>
      </c>
      <c r="H23" s="351" t="str">
        <f t="shared" si="24"/>
        <v>Mainauenbowler Bayreuth Land</v>
      </c>
      <c r="I23" s="352" t="str">
        <f t="shared" si="24"/>
        <v/>
      </c>
      <c r="J23" s="351" t="str">
        <f t="shared" si="24"/>
        <v>Mainauenbowler Bayreuth Land</v>
      </c>
      <c r="K23" s="352" t="str">
        <f t="shared" si="24"/>
        <v/>
      </c>
      <c r="L23" s="351" t="str">
        <f t="shared" si="25"/>
        <v>Mainauenbowler Bayreuth Land</v>
      </c>
      <c r="M23" s="352" t="str">
        <f t="shared" si="25"/>
        <v/>
      </c>
      <c r="N23" s="353"/>
      <c r="O23" s="353"/>
      <c r="S23" s="4"/>
      <c r="T23" s="1"/>
      <c r="U23" s="351" t="str">
        <f>VLOOKUP(U22,Schlüssel!$A$5:$K$10,2)</f>
        <v>Mainauenbowler Bayreuth Land</v>
      </c>
      <c r="V23" s="352"/>
      <c r="W23" s="351" t="str">
        <f>VLOOKUP(W22,Schlüssel!$A$5:$K$10,2)</f>
        <v>Mainauenbowler Bayreuth Land</v>
      </c>
      <c r="X23" s="352"/>
      <c r="Y23" s="351" t="str">
        <f>VLOOKUP(Y22,Schlüssel!$A$5:$K$10,2)</f>
        <v>Mainauenbowler Bayreuth Land</v>
      </c>
      <c r="Z23" s="352"/>
      <c r="AA23" s="351" t="str">
        <f>VLOOKUP(AA22,Schlüssel!$A$5:$K$10,2)</f>
        <v>Mainauenbowler Bayreuth Land</v>
      </c>
      <c r="AB23" s="352"/>
      <c r="AC23" s="351" t="str">
        <f>VLOOKUP(AC22,Schlüssel!$A$5:$K$10,2)</f>
        <v>Mainauenbowler Bayreuth Land</v>
      </c>
      <c r="AD23" s="352"/>
      <c r="AE23" s="351" t="str">
        <f>VLOOKUP(AE22,Schlüssel!$A$5:$K$10,2)</f>
        <v>Mainauenbowler Bayreuth Land</v>
      </c>
      <c r="AF23" s="35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50" t="str">
        <f t="shared" si="24"/>
        <v/>
      </c>
      <c r="E24" s="350" t="str">
        <f t="shared" si="24"/>
        <v/>
      </c>
      <c r="F24" s="350" t="str">
        <f t="shared" si="24"/>
        <v/>
      </c>
      <c r="G24" s="350" t="str">
        <f t="shared" si="24"/>
        <v/>
      </c>
      <c r="H24" s="350" t="str">
        <f t="shared" si="24"/>
        <v/>
      </c>
      <c r="I24" s="350" t="str">
        <f t="shared" si="24"/>
        <v/>
      </c>
      <c r="J24" s="350" t="str">
        <f t="shared" si="24"/>
        <v/>
      </c>
      <c r="K24" s="350" t="str">
        <f t="shared" si="24"/>
        <v/>
      </c>
      <c r="L24" s="350" t="str">
        <f t="shared" si="25"/>
        <v/>
      </c>
      <c r="M24" s="350" t="str">
        <f t="shared" si="25"/>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5" t="str">
        <f t="shared" ref="B25:C29" si="26">IF(S25=0,"",S25)</f>
        <v>Spieler 1</v>
      </c>
      <c r="C25" s="376" t="str">
        <f t="shared" si="26"/>
        <v/>
      </c>
      <c r="D25" s="348">
        <f>IF(U25=301,"",U25)</f>
        <v>111</v>
      </c>
      <c r="E25" s="348" t="str">
        <f>IF(V25=0,"",V25)</f>
        <v/>
      </c>
      <c r="F25" s="348">
        <f>IF(W25=301,"",W25)</f>
        <v>0</v>
      </c>
      <c r="G25" s="348" t="str">
        <f>IF(X25=0,"",X25)</f>
        <v/>
      </c>
      <c r="H25" s="348">
        <f>IF(Y25=301,"",Y25)</f>
        <v>0</v>
      </c>
      <c r="I25" s="348" t="str">
        <f>IF(Z25=0,"",Z25)</f>
        <v/>
      </c>
      <c r="J25" s="348">
        <f>IF(AA25=301,"",AA25)</f>
        <v>0</v>
      </c>
      <c r="K25" s="348" t="str">
        <f>IF(AB25=0,"",AB25)</f>
        <v/>
      </c>
      <c r="L25" s="348">
        <f>IF(AC25=301,"",AC25)</f>
        <v>0</v>
      </c>
      <c r="M25" s="348" t="str">
        <f>IF(AD25=0,"",AD25)</f>
        <v/>
      </c>
      <c r="N25" s="349"/>
      <c r="O25" s="349"/>
      <c r="S25" s="35" t="s">
        <v>0</v>
      </c>
      <c r="T25" s="36"/>
      <c r="U25" s="371">
        <f>ABS(INDEX(U:U,MATCH(U22,$S:$S,0)+5)+INDEX(U:U,MATCH(U22,$S:$S,0)+6)+INDEX(U:U,MATCH(U22,$S:$S,0)+7))</f>
        <v>111</v>
      </c>
      <c r="V25" s="372"/>
      <c r="W25" s="371">
        <f>ABS(INDEX(W:W,MATCH(W22,$S:$S,0)+5)+INDEX(W:W,MATCH(W22,$S:$S,0)+6)+INDEX(W:W,MATCH(W22,$S:$S,0)+7))</f>
        <v>0</v>
      </c>
      <c r="X25" s="372"/>
      <c r="Y25" s="371">
        <f>ABS(INDEX(Y:Y,MATCH(Y22,$S:$S,0)+5)+INDEX(Y:Y,MATCH(Y22,$S:$S,0)+6)+INDEX(Y:Y,MATCH(Y22,$S:$S,0)+7))</f>
        <v>0</v>
      </c>
      <c r="Z25" s="372"/>
      <c r="AA25" s="371">
        <f>ABS(INDEX(AA:AA,MATCH(AA22,$S:$S,0)+5)+INDEX(AA:AA,MATCH(AA22,$S:$S,0)+6)+INDEX(AA:AA,MATCH(AA22,$S:$S,0)+7))</f>
        <v>0</v>
      </c>
      <c r="AB25" s="372"/>
      <c r="AC25" s="371">
        <f>ABS(INDEX(AC:AC,MATCH(AC22,$S:$S,0)+5)+INDEX(AC:AC,MATCH(AC22,$S:$S,0)+6)+INDEX(AC:AC,MATCH(AC22,$S:$S,0)+7))</f>
        <v>0</v>
      </c>
      <c r="AD25" s="372"/>
      <c r="AE25" s="371">
        <f>ABS(INDEX(AE:AE,MATCH(AE22,$S:$S,0)+5)+INDEX(AE:AE,MATCH(AE22,$S:$S,0)+6)+INDEX(AE:AE,MATCH(AE22,$S:$S,0)+7))</f>
        <v>0</v>
      </c>
      <c r="AF25" s="372"/>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5" t="str">
        <f t="shared" si="26"/>
        <v>Spieler 2</v>
      </c>
      <c r="C26" s="376" t="str">
        <f t="shared" si="26"/>
        <v/>
      </c>
      <c r="D26" s="348">
        <f>IF(U26=301,"",U26)</f>
        <v>0</v>
      </c>
      <c r="E26" s="348" t="str">
        <f>IF(V26=0,"",V26)</f>
        <v/>
      </c>
      <c r="F26" s="348">
        <f>IF(W26=301,"",W26)</f>
        <v>0</v>
      </c>
      <c r="G26" s="348" t="str">
        <f>IF(X26=0,"",X26)</f>
        <v/>
      </c>
      <c r="H26" s="348">
        <f>IF(Y26=301,"",Y26)</f>
        <v>0</v>
      </c>
      <c r="I26" s="348" t="str">
        <f>IF(Z26=0,"",Z26)</f>
        <v/>
      </c>
      <c r="J26" s="348">
        <f>IF(AA26=301,"",AA26)</f>
        <v>0</v>
      </c>
      <c r="K26" s="348" t="str">
        <f>IF(AB26=0,"",AB26)</f>
        <v/>
      </c>
      <c r="L26" s="348">
        <f>IF(AC26=301,"",AC26)</f>
        <v>0</v>
      </c>
      <c r="M26" s="348" t="str">
        <f>IF(AD26=0,"",AD26)</f>
        <v/>
      </c>
      <c r="N26" s="349"/>
      <c r="O26" s="349"/>
      <c r="S26" s="35" t="s">
        <v>2</v>
      </c>
      <c r="T26" s="36"/>
      <c r="U26" s="369">
        <f>ABS(INDEX(U:U,MATCH(U22,$S:$S,0)+8)+INDEX(U:U,MATCH(U22,$S:$S,0)+9)+INDEX(U:U,MATCH(U22,$S:$S,0)+10))</f>
        <v>0</v>
      </c>
      <c r="V26" s="370"/>
      <c r="W26" s="369">
        <f>ABS(INDEX(W:W,MATCH(W22,$S:$S,0)+8)+INDEX(W:W,MATCH(W22,$S:$S,0)+9)+INDEX(W:W,MATCH(W22,$S:$S,0)+10))</f>
        <v>0</v>
      </c>
      <c r="X26" s="370"/>
      <c r="Y26" s="369">
        <f>ABS(INDEX(Y:Y,MATCH(Y22,$S:$S,0)+8)+INDEX(Y:Y,MATCH(Y22,$S:$S,0)+9)+INDEX(Y:Y,MATCH(Y22,$S:$S,0)+10))</f>
        <v>0</v>
      </c>
      <c r="Z26" s="370"/>
      <c r="AA26" s="369">
        <f>ABS(INDEX(AA:AA,MATCH(AA22,$S:$S,0)+8)+INDEX(AA:AA,MATCH(AA22,$S:$S,0)+9)+INDEX(AA:AA,MATCH(AA22,$S:$S,0)+10))</f>
        <v>0</v>
      </c>
      <c r="AB26" s="370"/>
      <c r="AC26" s="369">
        <f>ABS(INDEX(AC:AC,MATCH(AC22,$S:$S,0)+8)+INDEX(AC:AC,MATCH(AC22,$S:$S,0)+9)+INDEX(AC:AC,MATCH(AC22,$S:$S,0)+10))</f>
        <v>0</v>
      </c>
      <c r="AD26" s="370"/>
      <c r="AE26" s="369">
        <f>ABS(INDEX(AE:AE,MATCH(AE22,$S:$S,0)+8)+INDEX(AE:AE,MATCH(AE22,$S:$S,0)+9)+INDEX(AE:AE,MATCH(AE22,$S:$S,0)+10))</f>
        <v>0</v>
      </c>
      <c r="AF26" s="370"/>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5" t="str">
        <f t="shared" si="26"/>
        <v>Spieler 3</v>
      </c>
      <c r="C27" s="376" t="str">
        <f t="shared" si="26"/>
        <v/>
      </c>
      <c r="D27" s="348">
        <f>IF(U27=301,"",U27)</f>
        <v>0</v>
      </c>
      <c r="E27" s="348" t="str">
        <f>IF(V27=0,"",V27)</f>
        <v/>
      </c>
      <c r="F27" s="348">
        <f>IF(W27=301,"",W27)</f>
        <v>0</v>
      </c>
      <c r="G27" s="348" t="str">
        <f>IF(X27=0,"",X27)</f>
        <v/>
      </c>
      <c r="H27" s="348">
        <f>IF(Y27=301,"",Y27)</f>
        <v>0</v>
      </c>
      <c r="I27" s="348" t="str">
        <f>IF(Z27=0,"",Z27)</f>
        <v/>
      </c>
      <c r="J27" s="348">
        <f>IF(AA27=301,"",AA27)</f>
        <v>0</v>
      </c>
      <c r="K27" s="348" t="str">
        <f>IF(AB27=0,"",AB27)</f>
        <v/>
      </c>
      <c r="L27" s="348">
        <f>IF(AC27=301,"",AC27)</f>
        <v>0</v>
      </c>
      <c r="M27" s="348" t="str">
        <f>IF(AD27=0,"",AD27)</f>
        <v/>
      </c>
      <c r="N27" s="349"/>
      <c r="O27" s="349"/>
      <c r="S27" s="35" t="s">
        <v>3</v>
      </c>
      <c r="T27" s="36"/>
      <c r="U27" s="369">
        <f>ABS(INDEX(U:U,MATCH(U22,$S:$S,0)+11)+INDEX(U:U,MATCH(U22,$S:$S,0)+12)+INDEX(U:U,MATCH(U22,$S:$S,0)+13))</f>
        <v>0</v>
      </c>
      <c r="V27" s="370"/>
      <c r="W27" s="369">
        <f>ABS(INDEX(W:W,MATCH(W22,$S:$S,0)+11)+INDEX(W:W,MATCH(W22,$S:$S,0)+12)+INDEX(W:W,MATCH(W22,$S:$S,0)+13))</f>
        <v>0</v>
      </c>
      <c r="X27" s="370"/>
      <c r="Y27" s="369">
        <f>ABS(INDEX(Y:Y,MATCH(Y22,$S:$S,0)+11)+INDEX(Y:Y,MATCH(Y22,$S:$S,0)+12)+INDEX(Y:Y,MATCH(Y22,$S:$S,0)+13))</f>
        <v>0</v>
      </c>
      <c r="Z27" s="370"/>
      <c r="AA27" s="369">
        <f>ABS(INDEX(AA:AA,MATCH(AA22,$S:$S,0)+11)+INDEX(AA:AA,MATCH(AA22,$S:$S,0)+12)+INDEX(AA:AA,MATCH(AA22,$S:$S,0)+13))</f>
        <v>0</v>
      </c>
      <c r="AB27" s="370"/>
      <c r="AC27" s="369">
        <f>ABS(INDEX(AC:AC,MATCH(AC22,$S:$S,0)+11)+INDEX(AC:AC,MATCH(AC22,$S:$S,0)+12)+INDEX(AC:AC,MATCH(AC22,$S:$S,0)+13))</f>
        <v>0</v>
      </c>
      <c r="AD27" s="370"/>
      <c r="AE27" s="369">
        <f>ABS(INDEX(AE:AE,MATCH(AE22,$S:$S,0)+11)+INDEX(AE:AE,MATCH(AE22,$S:$S,0)+12)+INDEX(AE:AE,MATCH(AE22,$S:$S,0)+13))</f>
        <v>0</v>
      </c>
      <c r="AF27" s="370"/>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5" t="str">
        <f t="shared" si="26"/>
        <v>Spieler 4</v>
      </c>
      <c r="C28" s="376" t="str">
        <f t="shared" si="26"/>
        <v/>
      </c>
      <c r="D28" s="348">
        <f>IF(U28=301,"",U28)</f>
        <v>0</v>
      </c>
      <c r="E28" s="348" t="str">
        <f>IF(V28=0,"",V28)</f>
        <v/>
      </c>
      <c r="F28" s="348">
        <f>IF(W28=301,"",W28)</f>
        <v>0</v>
      </c>
      <c r="G28" s="348" t="str">
        <f>IF(X28=0,"",X28)</f>
        <v/>
      </c>
      <c r="H28" s="348">
        <f>IF(Y28=301,"",Y28)</f>
        <v>0</v>
      </c>
      <c r="I28" s="348" t="str">
        <f>IF(Z28=0,"",Z28)</f>
        <v/>
      </c>
      <c r="J28" s="348">
        <f>IF(AA28=301,"",AA28)</f>
        <v>0</v>
      </c>
      <c r="K28" s="348" t="str">
        <f>IF(AB28=0,"",AB28)</f>
        <v/>
      </c>
      <c r="L28" s="348">
        <f>IF(AC28=301,"",AC28)</f>
        <v>0</v>
      </c>
      <c r="M28" s="348" t="str">
        <f>IF(AD28=0,"",AD28)</f>
        <v/>
      </c>
      <c r="N28" s="349"/>
      <c r="O28" s="349"/>
      <c r="S28" s="35" t="s">
        <v>11</v>
      </c>
      <c r="T28" s="36"/>
      <c r="U28" s="369">
        <f>ABS(INDEX(U:U,MATCH(U22,$S:$S,0)+14)+INDEX(U:U,MATCH(U22,$S:$S,0)+15)+INDEX(U:U,MATCH(U22,$S:$S,0)+16))</f>
        <v>0</v>
      </c>
      <c r="V28" s="370"/>
      <c r="W28" s="369">
        <f>ABS(INDEX(W:W,MATCH(W22,$S:$S,0)+14)+INDEX(W:W,MATCH(W22,$S:$S,0)+15)+INDEX(W:W,MATCH(W22,$S:$S,0)+16))</f>
        <v>0</v>
      </c>
      <c r="X28" s="370"/>
      <c r="Y28" s="369">
        <f>ABS(INDEX(Y:Y,MATCH(Y22,$S:$S,0)+14)+INDEX(Y:Y,MATCH(Y22,$S:$S,0)+15)+INDEX(Y:Y,MATCH(Y22,$S:$S,0)+16))</f>
        <v>0</v>
      </c>
      <c r="Z28" s="370"/>
      <c r="AA28" s="369">
        <f>ABS(INDEX(AA:AA,MATCH(AA22,$S:$S,0)+14)+INDEX(AA:AA,MATCH(AA22,$S:$S,0)+15)+INDEX(AA:AA,MATCH(AA22,$S:$S,0)+16))</f>
        <v>0</v>
      </c>
      <c r="AB28" s="370"/>
      <c r="AC28" s="369">
        <f>ABS(INDEX(AC:AC,MATCH(AC22,$S:$S,0)+14)+INDEX(AC:AC,MATCH(AC22,$S:$S,0)+15)+INDEX(AC:AC,MATCH(AC22,$S:$S,0)+16))</f>
        <v>0</v>
      </c>
      <c r="AD28" s="370"/>
      <c r="AE28" s="369">
        <f>ABS(INDEX(AE:AE,MATCH(AE22,$S:$S,0)+14)+INDEX(AE:AE,MATCH(AE22,$S:$S,0)+15)+INDEX(AE:AE,MATCH(AE22,$S:$S,0)+16))</f>
        <v>0</v>
      </c>
      <c r="AF28" s="370"/>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3" t="str">
        <f t="shared" si="26"/>
        <v>Gesamt</v>
      </c>
      <c r="C29" s="364" t="str">
        <f t="shared" si="26"/>
        <v/>
      </c>
      <c r="D29" s="347">
        <f>IF(U29=1505,"",U29)</f>
        <v>111</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12"/>
      <c r="O29" s="312"/>
      <c r="S29" s="37" t="s">
        <v>1788</v>
      </c>
      <c r="T29" s="38"/>
      <c r="U29" s="363">
        <f>SUM(U25:U28)</f>
        <v>111</v>
      </c>
      <c r="V29" s="364"/>
      <c r="W29" s="363">
        <f>SUM(W25:W28)</f>
        <v>0</v>
      </c>
      <c r="X29" s="364"/>
      <c r="Y29" s="363">
        <f>SUM(Y25:Y28)</f>
        <v>0</v>
      </c>
      <c r="Z29" s="364"/>
      <c r="AA29" s="363">
        <f>SUM(AA25:AA28)</f>
        <v>0</v>
      </c>
      <c r="AB29" s="364"/>
      <c r="AC29" s="363">
        <f>SUM(AC25:AC28)</f>
        <v>0</v>
      </c>
      <c r="AD29" s="364"/>
      <c r="AE29" s="363">
        <f>SUM(AE25:AE28)</f>
        <v>0</v>
      </c>
      <c r="AF29" s="364"/>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80" t="str">
        <f>AD31</f>
        <v>13.10.</v>
      </c>
      <c r="N31" s="380"/>
      <c r="O31" s="380"/>
      <c r="P31" s="381"/>
      <c r="Q31" s="381"/>
      <c r="R31" s="381"/>
      <c r="S31" s="7" t="s">
        <v>1798</v>
      </c>
      <c r="T31" s="25"/>
      <c r="U31" s="30" t="s">
        <v>1782</v>
      </c>
      <c r="V31" s="76" t="str">
        <f>Schlüssel!$C$1</f>
        <v>Landesliga Nord Frauen</v>
      </c>
      <c r="X31" s="25"/>
      <c r="Y31" s="25"/>
      <c r="Z31" s="25"/>
      <c r="AA31" s="25"/>
      <c r="AC31" s="29"/>
      <c r="AD31" s="362" t="str">
        <f>Schlüssel!$AG$1</f>
        <v>13.10.</v>
      </c>
      <c r="AE31" s="362"/>
      <c r="AF31" s="362"/>
      <c r="AG31" s="362"/>
      <c r="AH31" s="362"/>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5">
      <c r="B35" s="40" t="s">
        <v>1</v>
      </c>
      <c r="C35" s="41"/>
      <c r="D35" s="363" t="s">
        <v>1789</v>
      </c>
      <c r="E35" s="364"/>
      <c r="F35" s="363" t="s">
        <v>1790</v>
      </c>
      <c r="G35" s="364"/>
      <c r="H35" s="363" t="s">
        <v>1791</v>
      </c>
      <c r="I35" s="364"/>
      <c r="J35" s="363" t="s">
        <v>1792</v>
      </c>
      <c r="K35" s="364"/>
      <c r="L35" s="363" t="s">
        <v>1793</v>
      </c>
      <c r="M35" s="364"/>
      <c r="N35" s="365" t="s">
        <v>1788</v>
      </c>
      <c r="O35" s="366"/>
      <c r="S35" s="40" t="s">
        <v>1</v>
      </c>
      <c r="T35" s="41"/>
      <c r="U35" s="363" t="s">
        <v>1789</v>
      </c>
      <c r="V35" s="364"/>
      <c r="W35" s="363" t="s">
        <v>1790</v>
      </c>
      <c r="X35" s="364"/>
      <c r="Y35" s="363" t="s">
        <v>1791</v>
      </c>
      <c r="Z35" s="364"/>
      <c r="AA35" s="363" t="s">
        <v>1792</v>
      </c>
      <c r="AB35" s="364"/>
      <c r="AC35" s="363" t="s">
        <v>1793</v>
      </c>
      <c r="AD35" s="368"/>
      <c r="AE35" s="363" t="s">
        <v>2088</v>
      </c>
      <c r="AF35" s="368"/>
      <c r="AG35" s="367" t="s">
        <v>1788</v>
      </c>
      <c r="AH35" s="36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7" t="s">
        <v>0</v>
      </c>
      <c r="B37" s="17" t="str">
        <f>IF(S37=0,"",S37)</f>
        <v/>
      </c>
      <c r="C37" s="18" t="str">
        <f>IF(T37=0,"",T37)</f>
        <v/>
      </c>
      <c r="D37" s="14" t="str">
        <f>IF(U37=0,"",U37)</f>
        <v/>
      </c>
      <c r="E37" s="356" t="e">
        <f>IF(V37="","",V37)</f>
        <v>#N/A</v>
      </c>
      <c r="F37" s="14" t="str">
        <f t="shared" ref="F37:F50" si="27">IF(W37=0,"",W37)</f>
        <v/>
      </c>
      <c r="G37" s="356" t="e">
        <f>IF(X37="","",X37)</f>
        <v>#N/A</v>
      </c>
      <c r="H37" s="14" t="str">
        <f t="shared" ref="H37:H50" si="28">IF(Y37=0,"",Y37)</f>
        <v/>
      </c>
      <c r="I37" s="356" t="e">
        <f>IF(Z37="","",Z37)</f>
        <v>#N/A</v>
      </c>
      <c r="J37" s="14" t="str">
        <f t="shared" ref="J37:J50" si="29">IF(AA37=0,"",AA37)</f>
        <v/>
      </c>
      <c r="K37" s="356" t="e">
        <f>IF(AB37="","",AB37)</f>
        <v>#N/A</v>
      </c>
      <c r="L37" s="14" t="str">
        <f t="shared" ref="L37:L50" si="30">IF(AC37=0,"",AC37)</f>
        <v/>
      </c>
      <c r="M37" s="356" t="e">
        <f>IF(AD37="","",AD37)</f>
        <v>#N/A</v>
      </c>
      <c r="N37" s="14" t="str">
        <f t="shared" ref="N37:N50" si="31">IF(AG37=0,"",AG37)</f>
        <v/>
      </c>
      <c r="O37" s="356" t="e">
        <f>IF(AH37="","",AH37)</f>
        <v>#N/A</v>
      </c>
      <c r="R37" s="359"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8"/>
      <c r="B38" s="19" t="str">
        <f t="shared" ref="B38:D50" si="48">IF(S38=0,"",S38)</f>
        <v/>
      </c>
      <c r="C38" s="20" t="str">
        <f t="shared" si="48"/>
        <v/>
      </c>
      <c r="D38" s="15" t="str">
        <f t="shared" si="48"/>
        <v/>
      </c>
      <c r="E38" s="357"/>
      <c r="F38" s="15" t="str">
        <f t="shared" si="27"/>
        <v/>
      </c>
      <c r="G38" s="357"/>
      <c r="H38" s="15" t="str">
        <f t="shared" si="28"/>
        <v/>
      </c>
      <c r="I38" s="357"/>
      <c r="J38" s="15" t="str">
        <f t="shared" si="29"/>
        <v/>
      </c>
      <c r="K38" s="357"/>
      <c r="L38" s="15" t="str">
        <f t="shared" si="30"/>
        <v/>
      </c>
      <c r="M38" s="357"/>
      <c r="N38" s="15" t="str">
        <f t="shared" si="31"/>
        <v/>
      </c>
      <c r="O38" s="357"/>
      <c r="R38" s="360"/>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9"/>
      <c r="B39" s="21" t="str">
        <f t="shared" si="48"/>
        <v/>
      </c>
      <c r="C39" s="22" t="str">
        <f t="shared" si="48"/>
        <v/>
      </c>
      <c r="D39" s="9" t="str">
        <f t="shared" si="48"/>
        <v/>
      </c>
      <c r="E39" s="358"/>
      <c r="F39" s="9" t="str">
        <f t="shared" si="27"/>
        <v/>
      </c>
      <c r="G39" s="358"/>
      <c r="H39" s="9" t="str">
        <f t="shared" si="28"/>
        <v/>
      </c>
      <c r="I39" s="358"/>
      <c r="J39" s="9" t="str">
        <f t="shared" si="29"/>
        <v/>
      </c>
      <c r="K39" s="358"/>
      <c r="L39" s="9" t="str">
        <f t="shared" si="30"/>
        <v/>
      </c>
      <c r="M39" s="358"/>
      <c r="N39" s="9" t="str">
        <f t="shared" si="31"/>
        <v/>
      </c>
      <c r="O39" s="358"/>
      <c r="R39" s="361"/>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7" t="s">
        <v>2</v>
      </c>
      <c r="B40" s="17" t="str">
        <f t="shared" si="48"/>
        <v/>
      </c>
      <c r="C40" s="18" t="str">
        <f t="shared" si="48"/>
        <v/>
      </c>
      <c r="D40" s="14" t="str">
        <f t="shared" si="48"/>
        <v/>
      </c>
      <c r="E40" s="356" t="e">
        <f>IF(V40="","",V40)</f>
        <v>#N/A</v>
      </c>
      <c r="F40" s="14" t="str">
        <f t="shared" si="27"/>
        <v/>
      </c>
      <c r="G40" s="356" t="e">
        <f>IF(X40="","",X40)</f>
        <v>#N/A</v>
      </c>
      <c r="H40" s="14" t="str">
        <f t="shared" si="28"/>
        <v/>
      </c>
      <c r="I40" s="356" t="e">
        <f>IF(Z40="","",Z40)</f>
        <v>#N/A</v>
      </c>
      <c r="J40" s="14" t="str">
        <f t="shared" si="29"/>
        <v/>
      </c>
      <c r="K40" s="356" t="e">
        <f>IF(AB40="","",AB40)</f>
        <v>#N/A</v>
      </c>
      <c r="L40" s="14" t="str">
        <f t="shared" si="30"/>
        <v/>
      </c>
      <c r="M40" s="356" t="e">
        <f>IF(AD40="","",AD40)</f>
        <v>#N/A</v>
      </c>
      <c r="N40" s="14" t="str">
        <f t="shared" si="31"/>
        <v/>
      </c>
      <c r="O40" s="356" t="e">
        <f>IF(AH40="","",AH40)</f>
        <v>#N/A</v>
      </c>
      <c r="R40" s="359"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8"/>
      <c r="B41" s="19" t="str">
        <f t="shared" si="48"/>
        <v/>
      </c>
      <c r="C41" s="20" t="str">
        <f t="shared" si="48"/>
        <v/>
      </c>
      <c r="D41" s="15" t="str">
        <f t="shared" si="48"/>
        <v/>
      </c>
      <c r="E41" s="357"/>
      <c r="F41" s="15" t="str">
        <f t="shared" si="27"/>
        <v/>
      </c>
      <c r="G41" s="357"/>
      <c r="H41" s="15" t="str">
        <f t="shared" si="28"/>
        <v/>
      </c>
      <c r="I41" s="357"/>
      <c r="J41" s="15" t="str">
        <f t="shared" si="29"/>
        <v/>
      </c>
      <c r="K41" s="357"/>
      <c r="L41" s="15" t="str">
        <f t="shared" si="30"/>
        <v/>
      </c>
      <c r="M41" s="357"/>
      <c r="N41" s="15" t="str">
        <f t="shared" si="31"/>
        <v/>
      </c>
      <c r="O41" s="357"/>
      <c r="R41" s="360"/>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9"/>
      <c r="B42" s="21" t="str">
        <f t="shared" si="48"/>
        <v/>
      </c>
      <c r="C42" s="22" t="str">
        <f t="shared" si="48"/>
        <v/>
      </c>
      <c r="D42" s="9" t="str">
        <f t="shared" si="48"/>
        <v/>
      </c>
      <c r="E42" s="358"/>
      <c r="F42" s="9" t="str">
        <f t="shared" si="27"/>
        <v/>
      </c>
      <c r="G42" s="358"/>
      <c r="H42" s="9" t="str">
        <f t="shared" si="28"/>
        <v/>
      </c>
      <c r="I42" s="358"/>
      <c r="J42" s="9" t="str">
        <f t="shared" si="29"/>
        <v/>
      </c>
      <c r="K42" s="358"/>
      <c r="L42" s="9" t="str">
        <f t="shared" si="30"/>
        <v/>
      </c>
      <c r="M42" s="358"/>
      <c r="N42" s="9" t="str">
        <f t="shared" si="31"/>
        <v/>
      </c>
      <c r="O42" s="358"/>
      <c r="R42" s="361"/>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7" t="s">
        <v>3</v>
      </c>
      <c r="B43" s="17" t="str">
        <f t="shared" si="48"/>
        <v/>
      </c>
      <c r="C43" s="18" t="str">
        <f t="shared" si="48"/>
        <v/>
      </c>
      <c r="D43" s="14" t="str">
        <f t="shared" si="48"/>
        <v/>
      </c>
      <c r="E43" s="356" t="e">
        <f>IF(V43="","",V43)</f>
        <v>#N/A</v>
      </c>
      <c r="F43" s="14" t="str">
        <f t="shared" si="27"/>
        <v/>
      </c>
      <c r="G43" s="356" t="e">
        <f>IF(X43="","",X43)</f>
        <v>#N/A</v>
      </c>
      <c r="H43" s="14" t="str">
        <f t="shared" si="28"/>
        <v/>
      </c>
      <c r="I43" s="356" t="e">
        <f>IF(Z43="","",Z43)</f>
        <v>#N/A</v>
      </c>
      <c r="J43" s="14" t="str">
        <f t="shared" si="29"/>
        <v/>
      </c>
      <c r="K43" s="356" t="e">
        <f>IF(AB43="","",AB43)</f>
        <v>#N/A</v>
      </c>
      <c r="L43" s="14" t="str">
        <f t="shared" si="30"/>
        <v/>
      </c>
      <c r="M43" s="356" t="e">
        <f>IF(AD43="","",AD43)</f>
        <v>#N/A</v>
      </c>
      <c r="N43" s="14" t="str">
        <f t="shared" si="31"/>
        <v/>
      </c>
      <c r="O43" s="356" t="e">
        <f>IF(AH43="","",AH43)</f>
        <v>#N/A</v>
      </c>
      <c r="R43" s="359"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8"/>
      <c r="B44" s="19" t="str">
        <f t="shared" si="48"/>
        <v/>
      </c>
      <c r="C44" s="20" t="str">
        <f t="shared" si="48"/>
        <v/>
      </c>
      <c r="D44" s="15" t="str">
        <f t="shared" si="48"/>
        <v/>
      </c>
      <c r="E44" s="357"/>
      <c r="F44" s="15" t="str">
        <f t="shared" si="27"/>
        <v/>
      </c>
      <c r="G44" s="357"/>
      <c r="H44" s="15" t="str">
        <f t="shared" si="28"/>
        <v/>
      </c>
      <c r="I44" s="357"/>
      <c r="J44" s="15" t="str">
        <f t="shared" si="29"/>
        <v/>
      </c>
      <c r="K44" s="357"/>
      <c r="L44" s="15" t="str">
        <f t="shared" si="30"/>
        <v/>
      </c>
      <c r="M44" s="357"/>
      <c r="N44" s="15" t="str">
        <f t="shared" si="31"/>
        <v/>
      </c>
      <c r="O44" s="357"/>
      <c r="R44" s="360"/>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9"/>
      <c r="B45" s="21" t="str">
        <f t="shared" si="48"/>
        <v/>
      </c>
      <c r="C45" s="22" t="str">
        <f t="shared" si="48"/>
        <v/>
      </c>
      <c r="D45" s="9" t="str">
        <f t="shared" si="48"/>
        <v/>
      </c>
      <c r="E45" s="358"/>
      <c r="F45" s="9" t="str">
        <f t="shared" si="27"/>
        <v/>
      </c>
      <c r="G45" s="358"/>
      <c r="H45" s="9" t="str">
        <f t="shared" si="28"/>
        <v/>
      </c>
      <c r="I45" s="358"/>
      <c r="J45" s="9" t="str">
        <f t="shared" si="29"/>
        <v/>
      </c>
      <c r="K45" s="358"/>
      <c r="L45" s="9" t="str">
        <f t="shared" si="30"/>
        <v/>
      </c>
      <c r="M45" s="358"/>
      <c r="N45" s="9" t="str">
        <f t="shared" si="31"/>
        <v/>
      </c>
      <c r="O45" s="358"/>
      <c r="R45" s="361"/>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7" t="s">
        <v>11</v>
      </c>
      <c r="B46" s="17" t="str">
        <f>IF(S46=0,"",S46)</f>
        <v/>
      </c>
      <c r="C46" s="18" t="str">
        <f t="shared" si="48"/>
        <v/>
      </c>
      <c r="D46" s="14" t="str">
        <f t="shared" si="48"/>
        <v/>
      </c>
      <c r="E46" s="356" t="e">
        <f>IF(V46="","",V46)</f>
        <v>#N/A</v>
      </c>
      <c r="F46" s="14" t="str">
        <f t="shared" si="27"/>
        <v/>
      </c>
      <c r="G46" s="356" t="e">
        <f>IF(X46="","",X46)</f>
        <v>#N/A</v>
      </c>
      <c r="H46" s="14" t="str">
        <f t="shared" si="28"/>
        <v/>
      </c>
      <c r="I46" s="356" t="e">
        <f>IF(Z46="","",Z46)</f>
        <v>#N/A</v>
      </c>
      <c r="J46" s="14" t="str">
        <f t="shared" si="29"/>
        <v/>
      </c>
      <c r="K46" s="356" t="e">
        <f>IF(AB46="","",AB46)</f>
        <v>#N/A</v>
      </c>
      <c r="L46" s="14" t="str">
        <f t="shared" si="30"/>
        <v/>
      </c>
      <c r="M46" s="356" t="e">
        <f>IF(AD46="","",AD46)</f>
        <v>#N/A</v>
      </c>
      <c r="N46" s="14" t="str">
        <f t="shared" si="31"/>
        <v/>
      </c>
      <c r="O46" s="356" t="e">
        <f>IF(AH46="","",AH46)</f>
        <v>#N/A</v>
      </c>
      <c r="R46" s="359"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8"/>
      <c r="B47" s="19" t="str">
        <f>IF(S47=0,"",S47)</f>
        <v/>
      </c>
      <c r="C47" s="20" t="str">
        <f t="shared" si="48"/>
        <v/>
      </c>
      <c r="D47" s="15" t="str">
        <f t="shared" si="48"/>
        <v/>
      </c>
      <c r="E47" s="357"/>
      <c r="F47" s="15" t="str">
        <f t="shared" si="27"/>
        <v/>
      </c>
      <c r="G47" s="357"/>
      <c r="H47" s="15" t="str">
        <f t="shared" si="28"/>
        <v/>
      </c>
      <c r="I47" s="357"/>
      <c r="J47" s="15" t="str">
        <f t="shared" si="29"/>
        <v/>
      </c>
      <c r="K47" s="357"/>
      <c r="L47" s="15" t="str">
        <f t="shared" si="30"/>
        <v/>
      </c>
      <c r="M47" s="357"/>
      <c r="N47" s="15" t="str">
        <f t="shared" si="31"/>
        <v/>
      </c>
      <c r="O47" s="357"/>
      <c r="R47" s="360"/>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9"/>
      <c r="B48" s="21" t="str">
        <f>IF(S48=0,"",S48)</f>
        <v/>
      </c>
      <c r="C48" s="22" t="str">
        <f t="shared" si="48"/>
        <v/>
      </c>
      <c r="D48" s="9" t="str">
        <f t="shared" si="48"/>
        <v/>
      </c>
      <c r="E48" s="358"/>
      <c r="F48" s="9" t="str">
        <f t="shared" si="27"/>
        <v/>
      </c>
      <c r="G48" s="358"/>
      <c r="H48" s="9" t="str">
        <f t="shared" si="28"/>
        <v/>
      </c>
      <c r="I48" s="358"/>
      <c r="J48" s="9" t="str">
        <f t="shared" si="29"/>
        <v/>
      </c>
      <c r="K48" s="358"/>
      <c r="L48" s="9" t="str">
        <f t="shared" si="30"/>
        <v/>
      </c>
      <c r="M48" s="358"/>
      <c r="N48" s="9" t="str">
        <f t="shared" si="31"/>
        <v/>
      </c>
      <c r="O48" s="358"/>
      <c r="R48" s="361"/>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54" t="str">
        <f t="shared" si="51"/>
        <v/>
      </c>
      <c r="E52" s="354" t="str">
        <f t="shared" si="51"/>
        <v/>
      </c>
      <c r="F52" s="354" t="str">
        <f t="shared" si="51"/>
        <v/>
      </c>
      <c r="G52" s="354" t="str">
        <f t="shared" si="51"/>
        <v/>
      </c>
      <c r="H52" s="354" t="str">
        <f t="shared" si="51"/>
        <v/>
      </c>
      <c r="I52" s="354" t="str">
        <f t="shared" si="51"/>
        <v/>
      </c>
      <c r="J52" s="354" t="str">
        <f t="shared" si="51"/>
        <v/>
      </c>
      <c r="K52" s="354" t="str">
        <f t="shared" si="51"/>
        <v/>
      </c>
      <c r="L52" s="354" t="str">
        <f t="shared" si="51"/>
        <v/>
      </c>
      <c r="M52" s="354" t="str">
        <f t="shared" si="51"/>
        <v/>
      </c>
      <c r="N52" s="355"/>
      <c r="O52" s="355"/>
      <c r="S52" s="13" t="s">
        <v>1786</v>
      </c>
      <c r="T52" s="5" t="s">
        <v>1787</v>
      </c>
      <c r="U52" s="373">
        <f>VLOOKUP($S32,Schlüssel!$A$5:$CX$10,23)</f>
        <v>0</v>
      </c>
      <c r="V52" s="374"/>
      <c r="W52" s="373">
        <f>VLOOKUP($S32,Schlüssel!$A$5:$DQ$10,24)</f>
        <v>0</v>
      </c>
      <c r="X52" s="374"/>
      <c r="Y52" s="373">
        <f>VLOOKUP($S32,Schlüssel!$A$5:$DQ$10,25)</f>
        <v>0</v>
      </c>
      <c r="Z52" s="374"/>
      <c r="AA52" s="373">
        <f>VLOOKUP($S32,Schlüssel!$A$5:$DQ$10,26)</f>
        <v>0</v>
      </c>
      <c r="AB52" s="374"/>
      <c r="AC52" s="373">
        <f>VLOOKUP($S32,Schlüssel!$A$5:$DQ$10,27)</f>
        <v>0</v>
      </c>
      <c r="AD52" s="374"/>
      <c r="AE52" s="373">
        <f>VLOOKUP($S32,Schlüssel!$A$5:$DQ$10,28)</f>
        <v>0</v>
      </c>
      <c r="AF52" s="374"/>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M54" si="52">IF(S53=0,"",S53)</f>
        <v/>
      </c>
      <c r="C53" s="1" t="str">
        <f t="shared" si="52"/>
        <v/>
      </c>
      <c r="D53" s="351" t="e">
        <f t="shared" si="52"/>
        <v>#N/A</v>
      </c>
      <c r="E53" s="352" t="str">
        <f t="shared" si="52"/>
        <v/>
      </c>
      <c r="F53" s="351" t="e">
        <f t="shared" si="52"/>
        <v>#N/A</v>
      </c>
      <c r="G53" s="352" t="str">
        <f t="shared" si="52"/>
        <v/>
      </c>
      <c r="H53" s="351" t="e">
        <f t="shared" si="52"/>
        <v>#N/A</v>
      </c>
      <c r="I53" s="352" t="str">
        <f t="shared" si="52"/>
        <v/>
      </c>
      <c r="J53" s="351" t="e">
        <f t="shared" si="52"/>
        <v>#N/A</v>
      </c>
      <c r="K53" s="352" t="str">
        <f t="shared" si="52"/>
        <v/>
      </c>
      <c r="L53" s="351" t="e">
        <f t="shared" si="52"/>
        <v>#N/A</v>
      </c>
      <c r="M53" s="352" t="str">
        <f t="shared" si="52"/>
        <v/>
      </c>
      <c r="N53" s="353"/>
      <c r="O53" s="353"/>
      <c r="S53" s="4"/>
      <c r="T53" s="1"/>
      <c r="U53" s="351" t="e">
        <f>VLOOKUP(U52,Schlüssel!$A$5:$K$10,2)</f>
        <v>#N/A</v>
      </c>
      <c r="V53" s="352"/>
      <c r="W53" s="351" t="e">
        <f>VLOOKUP(W52,Schlüssel!$A$5:$K$10,2)</f>
        <v>#N/A</v>
      </c>
      <c r="X53" s="352"/>
      <c r="Y53" s="351" t="e">
        <f>VLOOKUP(Y52,Schlüssel!$A$5:$K$10,2)</f>
        <v>#N/A</v>
      </c>
      <c r="Z53" s="352"/>
      <c r="AA53" s="351" t="e">
        <f>VLOOKUP(AA52,Schlüssel!$A$5:$K$10,2)</f>
        <v>#N/A</v>
      </c>
      <c r="AB53" s="352"/>
      <c r="AC53" s="351" t="e">
        <f>VLOOKUP(AC52,Schlüssel!$A$5:$K$10,2)</f>
        <v>#N/A</v>
      </c>
      <c r="AD53" s="352"/>
      <c r="AE53" s="351" t="e">
        <f>VLOOKUP(AE52,Schlüssel!$A$5:$K$10,2)</f>
        <v>#N/A</v>
      </c>
      <c r="AF53" s="35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50" t="str">
        <f t="shared" si="52"/>
        <v/>
      </c>
      <c r="E54" s="350" t="str">
        <f t="shared" si="52"/>
        <v/>
      </c>
      <c r="F54" s="350" t="str">
        <f t="shared" si="52"/>
        <v/>
      </c>
      <c r="G54" s="350" t="str">
        <f t="shared" si="52"/>
        <v/>
      </c>
      <c r="H54" s="350" t="str">
        <f t="shared" si="52"/>
        <v/>
      </c>
      <c r="I54" s="350" t="str">
        <f t="shared" si="52"/>
        <v/>
      </c>
      <c r="J54" s="350" t="str">
        <f t="shared" si="52"/>
        <v/>
      </c>
      <c r="K54" s="350" t="str">
        <f t="shared" si="52"/>
        <v/>
      </c>
      <c r="L54" s="350" t="str">
        <f t="shared" si="52"/>
        <v/>
      </c>
      <c r="M54" s="350"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5" t="str">
        <f t="shared" ref="B55:C59" si="53">IF(S55=0,"",S55)</f>
        <v>Spieler 1</v>
      </c>
      <c r="C55" s="376" t="str">
        <f t="shared" si="53"/>
        <v/>
      </c>
      <c r="D55" s="348" t="e">
        <f>IF(U55=301,"",U55)</f>
        <v>#N/A</v>
      </c>
      <c r="E55" s="348" t="str">
        <f>IF(V55=0,"",V55)</f>
        <v/>
      </c>
      <c r="F55" s="348" t="e">
        <f>IF(W55=301,"",W55)</f>
        <v>#N/A</v>
      </c>
      <c r="G55" s="348" t="str">
        <f>IF(X55=0,"",X55)</f>
        <v/>
      </c>
      <c r="H55" s="348" t="e">
        <f>IF(Y55=301,"",Y55)</f>
        <v>#N/A</v>
      </c>
      <c r="I55" s="348" t="str">
        <f>IF(Z55=0,"",Z55)</f>
        <v/>
      </c>
      <c r="J55" s="348" t="e">
        <f>IF(AA55=301,"",AA55)</f>
        <v>#N/A</v>
      </c>
      <c r="K55" s="348" t="str">
        <f>IF(AB55=0,"",AB55)</f>
        <v/>
      </c>
      <c r="L55" s="348" t="e">
        <f>IF(AC55=301,"",AC55)</f>
        <v>#N/A</v>
      </c>
      <c r="M55" s="348" t="str">
        <f>IF(AD55=0,"",AD55)</f>
        <v/>
      </c>
      <c r="N55" s="349"/>
      <c r="O55" s="349"/>
      <c r="S55" s="35" t="s">
        <v>0</v>
      </c>
      <c r="T55" s="36"/>
      <c r="U55" s="371" t="e">
        <f>ABS(INDEX(U:U,MATCH(U52,$S:$S,0)+5)+INDEX(U:U,MATCH(U52,$S:$S,0)+6)+INDEX(U:U,MATCH(U52,$S:$S,0)+7))</f>
        <v>#N/A</v>
      </c>
      <c r="V55" s="372"/>
      <c r="W55" s="371" t="e">
        <f>ABS(INDEX(W:W,MATCH(W52,$S:$S,0)+5)+INDEX(W:W,MATCH(W52,$S:$S,0)+6)+INDEX(W:W,MATCH(W52,$S:$S,0)+7))</f>
        <v>#N/A</v>
      </c>
      <c r="X55" s="372"/>
      <c r="Y55" s="371" t="e">
        <f>ABS(INDEX(Y:Y,MATCH(Y52,$S:$S,0)+5)+INDEX(Y:Y,MATCH(Y52,$S:$S,0)+6)+INDEX(Y:Y,MATCH(Y52,$S:$S,0)+7))</f>
        <v>#N/A</v>
      </c>
      <c r="Z55" s="372"/>
      <c r="AA55" s="371" t="e">
        <f>ABS(INDEX(AA:AA,MATCH(AA52,$S:$S,0)+5)+INDEX(AA:AA,MATCH(AA52,$S:$S,0)+6)+INDEX(AA:AA,MATCH(AA52,$S:$S,0)+7))</f>
        <v>#N/A</v>
      </c>
      <c r="AB55" s="372"/>
      <c r="AC55" s="371" t="e">
        <f>ABS(INDEX(AC:AC,MATCH(AC52,$S:$S,0)+5)+INDEX(AC:AC,MATCH(AC52,$S:$S,0)+6)+INDEX(AC:AC,MATCH(AC52,$S:$S,0)+7))</f>
        <v>#N/A</v>
      </c>
      <c r="AD55" s="372"/>
      <c r="AE55" s="371" t="e">
        <f>ABS(INDEX(AE:AE,MATCH(AE52,$S:$S,0)+5)+INDEX(AE:AE,MATCH(AE52,$S:$S,0)+6)+INDEX(AE:AE,MATCH(AE52,$S:$S,0)+7))</f>
        <v>#N/A</v>
      </c>
      <c r="AF55" s="372"/>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5" t="str">
        <f t="shared" si="53"/>
        <v>Spieler 2</v>
      </c>
      <c r="C56" s="376" t="str">
        <f t="shared" si="53"/>
        <v/>
      </c>
      <c r="D56" s="348" t="e">
        <f>IF(U56=301,"",U56)</f>
        <v>#N/A</v>
      </c>
      <c r="E56" s="348" t="str">
        <f>IF(V56=0,"",V56)</f>
        <v/>
      </c>
      <c r="F56" s="348" t="e">
        <f>IF(W56=301,"",W56)</f>
        <v>#N/A</v>
      </c>
      <c r="G56" s="348" t="str">
        <f>IF(X56=0,"",X56)</f>
        <v/>
      </c>
      <c r="H56" s="348" t="e">
        <f>IF(Y56=301,"",Y56)</f>
        <v>#N/A</v>
      </c>
      <c r="I56" s="348" t="str">
        <f>IF(Z56=0,"",Z56)</f>
        <v/>
      </c>
      <c r="J56" s="348" t="e">
        <f>IF(AA56=301,"",AA56)</f>
        <v>#N/A</v>
      </c>
      <c r="K56" s="348" t="str">
        <f>IF(AB56=0,"",AB56)</f>
        <v/>
      </c>
      <c r="L56" s="348" t="e">
        <f>IF(AC56=301,"",AC56)</f>
        <v>#N/A</v>
      </c>
      <c r="M56" s="348" t="str">
        <f>IF(AD56=0,"",AD56)</f>
        <v/>
      </c>
      <c r="N56" s="349"/>
      <c r="O56" s="349"/>
      <c r="S56" s="35" t="s">
        <v>2</v>
      </c>
      <c r="T56" s="36"/>
      <c r="U56" s="369" t="e">
        <f>ABS(INDEX(U:U,MATCH(U52,$S:$S,0)+8)+INDEX(U:U,MATCH(U52,$S:$S,0)+9)+INDEX(U:U,MATCH(U52,$S:$S,0)+10))</f>
        <v>#N/A</v>
      </c>
      <c r="V56" s="370"/>
      <c r="W56" s="369" t="e">
        <f>ABS(INDEX(W:W,MATCH(W52,$S:$S,0)+8)+INDEX(W:W,MATCH(W52,$S:$S,0)+9)+INDEX(W:W,MATCH(W52,$S:$S,0)+10))</f>
        <v>#N/A</v>
      </c>
      <c r="X56" s="370"/>
      <c r="Y56" s="369" t="e">
        <f>ABS(INDEX(Y:Y,MATCH(Y52,$S:$S,0)+8)+INDEX(Y:Y,MATCH(Y52,$S:$S,0)+9)+INDEX(Y:Y,MATCH(Y52,$S:$S,0)+10))</f>
        <v>#N/A</v>
      </c>
      <c r="Z56" s="370"/>
      <c r="AA56" s="369" t="e">
        <f>ABS(INDEX(AA:AA,MATCH(AA52,$S:$S,0)+8)+INDEX(AA:AA,MATCH(AA52,$S:$S,0)+9)+INDEX(AA:AA,MATCH(AA52,$S:$S,0)+10))</f>
        <v>#N/A</v>
      </c>
      <c r="AB56" s="370"/>
      <c r="AC56" s="369" t="e">
        <f>ABS(INDEX(AC:AC,MATCH(AC52,$S:$S,0)+8)+INDEX(AC:AC,MATCH(AC52,$S:$S,0)+9)+INDEX(AC:AC,MATCH(AC52,$S:$S,0)+10))</f>
        <v>#N/A</v>
      </c>
      <c r="AD56" s="370"/>
      <c r="AE56" s="369" t="e">
        <f>ABS(INDEX(AE:AE,MATCH(AE52,$S:$S,0)+8)+INDEX(AE:AE,MATCH(AE52,$S:$S,0)+9)+INDEX(AE:AE,MATCH(AE52,$S:$S,0)+10))</f>
        <v>#N/A</v>
      </c>
      <c r="AF56" s="370"/>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5" t="str">
        <f t="shared" si="53"/>
        <v>Spieler 3</v>
      </c>
      <c r="C57" s="376" t="str">
        <f t="shared" si="53"/>
        <v/>
      </c>
      <c r="D57" s="348" t="e">
        <f>IF(U57=301,"",U57)</f>
        <v>#N/A</v>
      </c>
      <c r="E57" s="348" t="str">
        <f>IF(V57=0,"",V57)</f>
        <v/>
      </c>
      <c r="F57" s="348" t="e">
        <f>IF(W57=301,"",W57)</f>
        <v>#N/A</v>
      </c>
      <c r="G57" s="348" t="str">
        <f>IF(X57=0,"",X57)</f>
        <v/>
      </c>
      <c r="H57" s="348" t="e">
        <f>IF(Y57=301,"",Y57)</f>
        <v>#N/A</v>
      </c>
      <c r="I57" s="348" t="str">
        <f>IF(Z57=0,"",Z57)</f>
        <v/>
      </c>
      <c r="J57" s="348" t="e">
        <f>IF(AA57=301,"",AA57)</f>
        <v>#N/A</v>
      </c>
      <c r="K57" s="348" t="str">
        <f>IF(AB57=0,"",AB57)</f>
        <v/>
      </c>
      <c r="L57" s="348" t="e">
        <f>IF(AC57=301,"",AC57)</f>
        <v>#N/A</v>
      </c>
      <c r="M57" s="348" t="str">
        <f>IF(AD57=0,"",AD57)</f>
        <v/>
      </c>
      <c r="N57" s="349"/>
      <c r="O57" s="349"/>
      <c r="S57" s="35" t="s">
        <v>3</v>
      </c>
      <c r="T57" s="36"/>
      <c r="U57" s="369" t="e">
        <f>ABS(INDEX(U:U,MATCH(U52,$S:$S,0)+11)+INDEX(U:U,MATCH(U52,$S:$S,0)+12)+INDEX(U:U,MATCH(U52,$S:$S,0)+13))</f>
        <v>#N/A</v>
      </c>
      <c r="V57" s="370"/>
      <c r="W57" s="369" t="e">
        <f>ABS(INDEX(W:W,MATCH(W52,$S:$S,0)+11)+INDEX(W:W,MATCH(W52,$S:$S,0)+12)+INDEX(W:W,MATCH(W52,$S:$S,0)+13))</f>
        <v>#N/A</v>
      </c>
      <c r="X57" s="370"/>
      <c r="Y57" s="369" t="e">
        <f>ABS(INDEX(Y:Y,MATCH(Y52,$S:$S,0)+11)+INDEX(Y:Y,MATCH(Y52,$S:$S,0)+12)+INDEX(Y:Y,MATCH(Y52,$S:$S,0)+13))</f>
        <v>#N/A</v>
      </c>
      <c r="Z57" s="370"/>
      <c r="AA57" s="369" t="e">
        <f>ABS(INDEX(AA:AA,MATCH(AA52,$S:$S,0)+11)+INDEX(AA:AA,MATCH(AA52,$S:$S,0)+12)+INDEX(AA:AA,MATCH(AA52,$S:$S,0)+13))</f>
        <v>#N/A</v>
      </c>
      <c r="AB57" s="370"/>
      <c r="AC57" s="369" t="e">
        <f>ABS(INDEX(AC:AC,MATCH(AC52,$S:$S,0)+11)+INDEX(AC:AC,MATCH(AC52,$S:$S,0)+12)+INDEX(AC:AC,MATCH(AC52,$S:$S,0)+13))</f>
        <v>#N/A</v>
      </c>
      <c r="AD57" s="370"/>
      <c r="AE57" s="369" t="e">
        <f>ABS(INDEX(AE:AE,MATCH(AE52,$S:$S,0)+11)+INDEX(AE:AE,MATCH(AE52,$S:$S,0)+12)+INDEX(AE:AE,MATCH(AE52,$S:$S,0)+13))</f>
        <v>#N/A</v>
      </c>
      <c r="AF57" s="370"/>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5" t="str">
        <f t="shared" si="53"/>
        <v>Spieler 4</v>
      </c>
      <c r="C58" s="376" t="str">
        <f t="shared" si="53"/>
        <v/>
      </c>
      <c r="D58" s="348" t="e">
        <f>IF(U58=301,"",U58)</f>
        <v>#N/A</v>
      </c>
      <c r="E58" s="348" t="str">
        <f>IF(V58=0,"",V58)</f>
        <v/>
      </c>
      <c r="F58" s="348" t="e">
        <f>IF(W58=301,"",W58)</f>
        <v>#N/A</v>
      </c>
      <c r="G58" s="348" t="str">
        <f>IF(X58=0,"",X58)</f>
        <v/>
      </c>
      <c r="H58" s="348" t="e">
        <f>IF(Y58=301,"",Y58)</f>
        <v>#N/A</v>
      </c>
      <c r="I58" s="348" t="str">
        <f>IF(Z58=0,"",Z58)</f>
        <v/>
      </c>
      <c r="J58" s="348" t="e">
        <f>IF(AA58=301,"",AA58)</f>
        <v>#N/A</v>
      </c>
      <c r="K58" s="348" t="str">
        <f>IF(AB58=0,"",AB58)</f>
        <v/>
      </c>
      <c r="L58" s="348" t="e">
        <f>IF(AC58=301,"",AC58)</f>
        <v>#N/A</v>
      </c>
      <c r="M58" s="348" t="str">
        <f>IF(AD58=0,"",AD58)</f>
        <v/>
      </c>
      <c r="N58" s="349"/>
      <c r="O58" s="349"/>
      <c r="S58" s="35" t="s">
        <v>11</v>
      </c>
      <c r="T58" s="36"/>
      <c r="U58" s="369" t="e">
        <f>ABS(INDEX(U:U,MATCH(U52,$S:$S,0)+14)+INDEX(U:U,MATCH(U52,$S:$S,0)+15)+INDEX(U:U,MATCH(U52,$S:$S,0)+16))</f>
        <v>#N/A</v>
      </c>
      <c r="V58" s="370"/>
      <c r="W58" s="369" t="e">
        <f>ABS(INDEX(W:W,MATCH(W52,$S:$S,0)+14)+INDEX(W:W,MATCH(W52,$S:$S,0)+15)+INDEX(W:W,MATCH(W52,$S:$S,0)+16))</f>
        <v>#N/A</v>
      </c>
      <c r="X58" s="370"/>
      <c r="Y58" s="369" t="e">
        <f>ABS(INDEX(Y:Y,MATCH(Y52,$S:$S,0)+14)+INDEX(Y:Y,MATCH(Y52,$S:$S,0)+15)+INDEX(Y:Y,MATCH(Y52,$S:$S,0)+16))</f>
        <v>#N/A</v>
      </c>
      <c r="Z58" s="370"/>
      <c r="AA58" s="369" t="e">
        <f>ABS(INDEX(AA:AA,MATCH(AA52,$S:$S,0)+14)+INDEX(AA:AA,MATCH(AA52,$S:$S,0)+15)+INDEX(AA:AA,MATCH(AA52,$S:$S,0)+16))</f>
        <v>#N/A</v>
      </c>
      <c r="AB58" s="370"/>
      <c r="AC58" s="369" t="e">
        <f>ABS(INDEX(AC:AC,MATCH(AC52,$S:$S,0)+14)+INDEX(AC:AC,MATCH(AC52,$S:$S,0)+15)+INDEX(AC:AC,MATCH(AC52,$S:$S,0)+16))</f>
        <v>#N/A</v>
      </c>
      <c r="AD58" s="370"/>
      <c r="AE58" s="369" t="e">
        <f>ABS(INDEX(AE:AE,MATCH(AE52,$S:$S,0)+14)+INDEX(AE:AE,MATCH(AE52,$S:$S,0)+15)+INDEX(AE:AE,MATCH(AE52,$S:$S,0)+16))</f>
        <v>#N/A</v>
      </c>
      <c r="AF58" s="370"/>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3" t="str">
        <f t="shared" si="53"/>
        <v>Gesamt</v>
      </c>
      <c r="C59" s="364" t="str">
        <f t="shared" si="53"/>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12"/>
      <c r="O59" s="312"/>
      <c r="S59" s="37" t="s">
        <v>1788</v>
      </c>
      <c r="T59" s="38"/>
      <c r="U59" s="363" t="e">
        <f>SUM(U55:U58)</f>
        <v>#N/A</v>
      </c>
      <c r="V59" s="364"/>
      <c r="W59" s="363" t="e">
        <f>SUM(W55:W58)</f>
        <v>#N/A</v>
      </c>
      <c r="X59" s="364"/>
      <c r="Y59" s="363" t="e">
        <f>SUM(Y55:Y58)</f>
        <v>#N/A</v>
      </c>
      <c r="Z59" s="364"/>
      <c r="AA59" s="363" t="e">
        <f>SUM(AA55:AA58)</f>
        <v>#N/A</v>
      </c>
      <c r="AB59" s="364"/>
      <c r="AC59" s="363" t="e">
        <f>SUM(AC55:AC58)</f>
        <v>#N/A</v>
      </c>
      <c r="AD59" s="364"/>
      <c r="AE59" s="363" t="e">
        <f>SUM(AE55:AE58)</f>
        <v>#N/A</v>
      </c>
      <c r="AF59" s="364"/>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80" t="str">
        <f>AD61</f>
        <v>13.10.</v>
      </c>
      <c r="N61" s="380"/>
      <c r="O61" s="380"/>
      <c r="P61" s="381"/>
      <c r="Q61" s="381"/>
      <c r="R61" s="381"/>
      <c r="S61" s="7" t="s">
        <v>1798</v>
      </c>
      <c r="T61" s="25"/>
      <c r="U61" s="30" t="s">
        <v>1782</v>
      </c>
      <c r="V61" s="76" t="str">
        <f>Schlüssel!$C$1</f>
        <v>Landesliga Nord Frauen</v>
      </c>
      <c r="X61" s="25"/>
      <c r="Y61" s="25"/>
      <c r="Z61" s="25"/>
      <c r="AA61" s="25"/>
      <c r="AC61" s="29"/>
      <c r="AD61" s="362" t="str">
        <f>Schlüssel!$AG$1</f>
        <v>13.10.</v>
      </c>
      <c r="AE61" s="362"/>
      <c r="AF61" s="362"/>
      <c r="AG61" s="362"/>
      <c r="AH61" s="362"/>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5">
      <c r="B65" s="40" t="s">
        <v>1</v>
      </c>
      <c r="C65" s="41"/>
      <c r="D65" s="363" t="s">
        <v>1789</v>
      </c>
      <c r="E65" s="364"/>
      <c r="F65" s="363" t="s">
        <v>1790</v>
      </c>
      <c r="G65" s="364"/>
      <c r="H65" s="363" t="s">
        <v>1791</v>
      </c>
      <c r="I65" s="364"/>
      <c r="J65" s="363" t="s">
        <v>1792</v>
      </c>
      <c r="K65" s="364"/>
      <c r="L65" s="363" t="s">
        <v>1793</v>
      </c>
      <c r="M65" s="364"/>
      <c r="N65" s="365" t="s">
        <v>1788</v>
      </c>
      <c r="O65" s="366"/>
      <c r="S65" s="40" t="s">
        <v>1</v>
      </c>
      <c r="T65" s="41"/>
      <c r="U65" s="363" t="s">
        <v>1789</v>
      </c>
      <c r="V65" s="364"/>
      <c r="W65" s="363" t="s">
        <v>1790</v>
      </c>
      <c r="X65" s="364"/>
      <c r="Y65" s="363" t="s">
        <v>1791</v>
      </c>
      <c r="Z65" s="364"/>
      <c r="AA65" s="363" t="s">
        <v>1792</v>
      </c>
      <c r="AB65" s="364"/>
      <c r="AC65" s="363" t="s">
        <v>1793</v>
      </c>
      <c r="AD65" s="368"/>
      <c r="AE65" s="363" t="s">
        <v>2088</v>
      </c>
      <c r="AF65" s="368"/>
      <c r="AG65" s="367" t="s">
        <v>1788</v>
      </c>
      <c r="AH65" s="36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7" t="s">
        <v>0</v>
      </c>
      <c r="B67" s="17" t="str">
        <f>IF(S67=0,"",S67)</f>
        <v/>
      </c>
      <c r="C67" s="18" t="str">
        <f>IF(T67=0,"",T67)</f>
        <v/>
      </c>
      <c r="D67" s="14">
        <f>IF(U67=0,"",U67)</f>
        <v>111</v>
      </c>
      <c r="E67" s="356">
        <f>IF(V67="","",V67)</f>
        <v>0.5</v>
      </c>
      <c r="F67" s="14" t="str">
        <f t="shared" ref="F67:F80" si="54">IF(W67=0,"",W67)</f>
        <v/>
      </c>
      <c r="G67" s="356">
        <f>IF(X67="","",X67)</f>
        <v>0</v>
      </c>
      <c r="H67" s="14" t="str">
        <f t="shared" ref="H67:H80" si="55">IF(Y67=0,"",Y67)</f>
        <v/>
      </c>
      <c r="I67" s="356">
        <f>IF(Z67="","",Z67)</f>
        <v>0</v>
      </c>
      <c r="J67" s="14" t="str">
        <f t="shared" ref="J67:J80" si="56">IF(AA67=0,"",AA67)</f>
        <v/>
      </c>
      <c r="K67" s="356">
        <f>IF(AB67="","",AB67)</f>
        <v>0</v>
      </c>
      <c r="L67" s="14" t="str">
        <f t="shared" ref="L67:L80" si="57">IF(AC67=0,"",AC67)</f>
        <v/>
      </c>
      <c r="M67" s="356">
        <f>IF(AD67="","",AD67)</f>
        <v>0</v>
      </c>
      <c r="N67" s="14">
        <f t="shared" ref="N67:N80" si="58">IF(AG67=0,"",AG67)</f>
        <v>111</v>
      </c>
      <c r="O67" s="356">
        <f>IF(AH67="","",AH67)</f>
        <v>0.5</v>
      </c>
      <c r="R67" s="359"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8"/>
      <c r="B68" s="19" t="str">
        <f t="shared" ref="B68:D80" si="75">IF(S68=0,"",S68)</f>
        <v/>
      </c>
      <c r="C68" s="20" t="str">
        <f t="shared" si="75"/>
        <v/>
      </c>
      <c r="D68" s="15" t="str">
        <f t="shared" si="75"/>
        <v/>
      </c>
      <c r="E68" s="357"/>
      <c r="F68" s="15" t="str">
        <f t="shared" si="54"/>
        <v/>
      </c>
      <c r="G68" s="357"/>
      <c r="H68" s="15" t="str">
        <f t="shared" si="55"/>
        <v/>
      </c>
      <c r="I68" s="357"/>
      <c r="J68" s="15" t="str">
        <f t="shared" si="56"/>
        <v/>
      </c>
      <c r="K68" s="357"/>
      <c r="L68" s="15" t="str">
        <f t="shared" si="57"/>
        <v/>
      </c>
      <c r="M68" s="357"/>
      <c r="N68" s="15" t="str">
        <f t="shared" si="58"/>
        <v/>
      </c>
      <c r="O68" s="357"/>
      <c r="R68" s="360"/>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9"/>
      <c r="B69" s="21" t="str">
        <f t="shared" si="75"/>
        <v/>
      </c>
      <c r="C69" s="22" t="str">
        <f t="shared" si="75"/>
        <v/>
      </c>
      <c r="D69" s="9" t="str">
        <f t="shared" si="75"/>
        <v/>
      </c>
      <c r="E69" s="358"/>
      <c r="F69" s="9" t="str">
        <f t="shared" si="54"/>
        <v/>
      </c>
      <c r="G69" s="358"/>
      <c r="H69" s="9" t="str">
        <f t="shared" si="55"/>
        <v/>
      </c>
      <c r="I69" s="358"/>
      <c r="J69" s="9" t="str">
        <f t="shared" si="56"/>
        <v/>
      </c>
      <c r="K69" s="358"/>
      <c r="L69" s="9" t="str">
        <f t="shared" si="57"/>
        <v/>
      </c>
      <c r="M69" s="358"/>
      <c r="N69" s="9" t="str">
        <f t="shared" si="58"/>
        <v/>
      </c>
      <c r="O69" s="358"/>
      <c r="R69" s="361"/>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7" t="s">
        <v>2</v>
      </c>
      <c r="B70" s="17" t="str">
        <f t="shared" si="75"/>
        <v/>
      </c>
      <c r="C70" s="18" t="str">
        <f t="shared" si="75"/>
        <v/>
      </c>
      <c r="D70" s="14" t="str">
        <f t="shared" si="75"/>
        <v/>
      </c>
      <c r="E70" s="356">
        <f>IF(V70="","",V70)</f>
        <v>0</v>
      </c>
      <c r="F70" s="14" t="str">
        <f t="shared" si="54"/>
        <v/>
      </c>
      <c r="G70" s="356">
        <f>IF(X70="","",X70)</f>
        <v>0</v>
      </c>
      <c r="H70" s="14" t="str">
        <f t="shared" si="55"/>
        <v/>
      </c>
      <c r="I70" s="356">
        <f>IF(Z70="","",Z70)</f>
        <v>0</v>
      </c>
      <c r="J70" s="14" t="str">
        <f t="shared" si="56"/>
        <v/>
      </c>
      <c r="K70" s="356">
        <f>IF(AB70="","",AB70)</f>
        <v>0</v>
      </c>
      <c r="L70" s="14" t="str">
        <f t="shared" si="57"/>
        <v/>
      </c>
      <c r="M70" s="356">
        <f>IF(AD70="","",AD70)</f>
        <v>0</v>
      </c>
      <c r="N70" s="14" t="str">
        <f t="shared" si="58"/>
        <v/>
      </c>
      <c r="O70" s="356">
        <f>IF(AH70="","",AH70)</f>
        <v>0</v>
      </c>
      <c r="R70" s="359"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8"/>
      <c r="B71" s="19" t="str">
        <f t="shared" si="75"/>
        <v/>
      </c>
      <c r="C71" s="20" t="str">
        <f t="shared" si="75"/>
        <v/>
      </c>
      <c r="D71" s="15" t="str">
        <f t="shared" si="75"/>
        <v/>
      </c>
      <c r="E71" s="357"/>
      <c r="F71" s="15" t="str">
        <f t="shared" si="54"/>
        <v/>
      </c>
      <c r="G71" s="357"/>
      <c r="H71" s="15" t="str">
        <f t="shared" si="55"/>
        <v/>
      </c>
      <c r="I71" s="357"/>
      <c r="J71" s="15" t="str">
        <f t="shared" si="56"/>
        <v/>
      </c>
      <c r="K71" s="357"/>
      <c r="L71" s="15" t="str">
        <f t="shared" si="57"/>
        <v/>
      </c>
      <c r="M71" s="357"/>
      <c r="N71" s="15" t="str">
        <f t="shared" si="58"/>
        <v/>
      </c>
      <c r="O71" s="357"/>
      <c r="R71" s="360"/>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3">
      <c r="A72" s="379"/>
      <c r="B72" s="21" t="str">
        <f t="shared" si="75"/>
        <v/>
      </c>
      <c r="C72" s="22" t="str">
        <f t="shared" si="75"/>
        <v/>
      </c>
      <c r="D72" s="9" t="str">
        <f t="shared" si="75"/>
        <v/>
      </c>
      <c r="E72" s="358"/>
      <c r="F72" s="9" t="str">
        <f t="shared" si="54"/>
        <v/>
      </c>
      <c r="G72" s="358"/>
      <c r="H72" s="9" t="str">
        <f t="shared" si="55"/>
        <v/>
      </c>
      <c r="I72" s="358"/>
      <c r="J72" s="9" t="str">
        <f t="shared" si="56"/>
        <v/>
      </c>
      <c r="K72" s="358"/>
      <c r="L72" s="9" t="str">
        <f t="shared" si="57"/>
        <v/>
      </c>
      <c r="M72" s="358"/>
      <c r="N72" s="9" t="str">
        <f t="shared" si="58"/>
        <v/>
      </c>
      <c r="O72" s="358"/>
      <c r="R72" s="361"/>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7" t="s">
        <v>3</v>
      </c>
      <c r="B73" s="17" t="str">
        <f t="shared" si="75"/>
        <v/>
      </c>
      <c r="C73" s="18" t="str">
        <f t="shared" si="75"/>
        <v/>
      </c>
      <c r="D73" s="14" t="str">
        <f t="shared" si="75"/>
        <v/>
      </c>
      <c r="E73" s="356">
        <f>IF(V73="","",V73)</f>
        <v>0</v>
      </c>
      <c r="F73" s="14" t="str">
        <f t="shared" si="54"/>
        <v/>
      </c>
      <c r="G73" s="356">
        <f>IF(X73="","",X73)</f>
        <v>0</v>
      </c>
      <c r="H73" s="14" t="str">
        <f t="shared" si="55"/>
        <v/>
      </c>
      <c r="I73" s="356">
        <f>IF(Z73="","",Z73)</f>
        <v>0</v>
      </c>
      <c r="J73" s="14" t="str">
        <f t="shared" si="56"/>
        <v/>
      </c>
      <c r="K73" s="356">
        <f>IF(AB73="","",AB73)</f>
        <v>0</v>
      </c>
      <c r="L73" s="14" t="str">
        <f t="shared" si="57"/>
        <v/>
      </c>
      <c r="M73" s="356">
        <f>IF(AD73="","",AD73)</f>
        <v>0</v>
      </c>
      <c r="N73" s="14" t="str">
        <f t="shared" si="58"/>
        <v/>
      </c>
      <c r="O73" s="356">
        <f>IF(AH73="","",AH73)</f>
        <v>0</v>
      </c>
      <c r="R73" s="359"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8"/>
      <c r="B74" s="19" t="str">
        <f t="shared" si="75"/>
        <v/>
      </c>
      <c r="C74" s="20" t="str">
        <f t="shared" si="75"/>
        <v/>
      </c>
      <c r="D74" s="15" t="str">
        <f t="shared" si="75"/>
        <v/>
      </c>
      <c r="E74" s="357"/>
      <c r="F74" s="15" t="str">
        <f t="shared" si="54"/>
        <v/>
      </c>
      <c r="G74" s="357"/>
      <c r="H74" s="15" t="str">
        <f t="shared" si="55"/>
        <v/>
      </c>
      <c r="I74" s="357"/>
      <c r="J74" s="15" t="str">
        <f t="shared" si="56"/>
        <v/>
      </c>
      <c r="K74" s="357"/>
      <c r="L74" s="15" t="str">
        <f t="shared" si="57"/>
        <v/>
      </c>
      <c r="M74" s="357"/>
      <c r="N74" s="15" t="str">
        <f t="shared" si="58"/>
        <v/>
      </c>
      <c r="O74" s="357"/>
      <c r="R74" s="360"/>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9"/>
      <c r="B75" s="21" t="str">
        <f t="shared" si="75"/>
        <v/>
      </c>
      <c r="C75" s="22" t="str">
        <f t="shared" si="75"/>
        <v/>
      </c>
      <c r="D75" s="9" t="str">
        <f t="shared" si="75"/>
        <v/>
      </c>
      <c r="E75" s="358"/>
      <c r="F75" s="9" t="str">
        <f t="shared" si="54"/>
        <v/>
      </c>
      <c r="G75" s="358"/>
      <c r="H75" s="9" t="str">
        <f t="shared" si="55"/>
        <v/>
      </c>
      <c r="I75" s="358"/>
      <c r="J75" s="9" t="str">
        <f t="shared" si="56"/>
        <v/>
      </c>
      <c r="K75" s="358"/>
      <c r="L75" s="9" t="str">
        <f t="shared" si="57"/>
        <v/>
      </c>
      <c r="M75" s="358"/>
      <c r="N75" s="9" t="str">
        <f t="shared" si="58"/>
        <v/>
      </c>
      <c r="O75" s="358"/>
      <c r="R75" s="361"/>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7" t="s">
        <v>11</v>
      </c>
      <c r="B76" s="17" t="str">
        <f>IF(S76=0,"",S76)</f>
        <v/>
      </c>
      <c r="C76" s="18" t="str">
        <f t="shared" si="75"/>
        <v/>
      </c>
      <c r="D76" s="14" t="str">
        <f t="shared" si="75"/>
        <v/>
      </c>
      <c r="E76" s="356">
        <f>IF(V76="","",V76)</f>
        <v>0</v>
      </c>
      <c r="F76" s="14" t="str">
        <f t="shared" si="54"/>
        <v/>
      </c>
      <c r="G76" s="356">
        <f>IF(X76="","",X76)</f>
        <v>0</v>
      </c>
      <c r="H76" s="14" t="str">
        <f t="shared" si="55"/>
        <v/>
      </c>
      <c r="I76" s="356">
        <f>IF(Z76="","",Z76)</f>
        <v>0</v>
      </c>
      <c r="J76" s="14" t="str">
        <f t="shared" si="56"/>
        <v/>
      </c>
      <c r="K76" s="356">
        <f>IF(AB76="","",AB76)</f>
        <v>0</v>
      </c>
      <c r="L76" s="14" t="str">
        <f t="shared" si="57"/>
        <v/>
      </c>
      <c r="M76" s="356">
        <f>IF(AD76="","",AD76)</f>
        <v>0</v>
      </c>
      <c r="N76" s="14" t="str">
        <f t="shared" si="58"/>
        <v/>
      </c>
      <c r="O76" s="356">
        <f>IF(AH76="","",AH76)</f>
        <v>0</v>
      </c>
      <c r="R76" s="359"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8"/>
      <c r="B77" s="19" t="str">
        <f>IF(S77=0,"",S77)</f>
        <v/>
      </c>
      <c r="C77" s="20" t="str">
        <f t="shared" si="75"/>
        <v/>
      </c>
      <c r="D77" s="15" t="str">
        <f t="shared" si="75"/>
        <v/>
      </c>
      <c r="E77" s="357"/>
      <c r="F77" s="15" t="str">
        <f t="shared" si="54"/>
        <v/>
      </c>
      <c r="G77" s="357"/>
      <c r="H77" s="15" t="str">
        <f t="shared" si="55"/>
        <v/>
      </c>
      <c r="I77" s="357"/>
      <c r="J77" s="15" t="str">
        <f t="shared" si="56"/>
        <v/>
      </c>
      <c r="K77" s="357"/>
      <c r="L77" s="15" t="str">
        <f t="shared" si="57"/>
        <v/>
      </c>
      <c r="M77" s="357"/>
      <c r="N77" s="15" t="str">
        <f t="shared" si="58"/>
        <v/>
      </c>
      <c r="O77" s="357"/>
      <c r="R77" s="360"/>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9"/>
      <c r="B78" s="21" t="str">
        <f>IF(S78=0,"",S78)</f>
        <v/>
      </c>
      <c r="C78" s="22" t="str">
        <f t="shared" si="75"/>
        <v/>
      </c>
      <c r="D78" s="9" t="str">
        <f t="shared" si="75"/>
        <v/>
      </c>
      <c r="E78" s="358"/>
      <c r="F78" s="9" t="str">
        <f t="shared" si="54"/>
        <v/>
      </c>
      <c r="G78" s="358"/>
      <c r="H78" s="9" t="str">
        <f t="shared" si="55"/>
        <v/>
      </c>
      <c r="I78" s="358"/>
      <c r="J78" s="9" t="str">
        <f t="shared" si="56"/>
        <v/>
      </c>
      <c r="K78" s="358"/>
      <c r="L78" s="9" t="str">
        <f t="shared" si="57"/>
        <v/>
      </c>
      <c r="M78" s="358"/>
      <c r="N78" s="9" t="str">
        <f t="shared" si="58"/>
        <v/>
      </c>
      <c r="O78" s="358"/>
      <c r="R78" s="361"/>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54">
        <f t="shared" si="78"/>
        <v>1</v>
      </c>
      <c r="E82" s="354" t="str">
        <f t="shared" si="78"/>
        <v/>
      </c>
      <c r="F82" s="354">
        <f t="shared" si="78"/>
        <v>1</v>
      </c>
      <c r="G82" s="354" t="str">
        <f t="shared" si="78"/>
        <v/>
      </c>
      <c r="H82" s="354">
        <f t="shared" si="78"/>
        <v>1</v>
      </c>
      <c r="I82" s="354" t="str">
        <f t="shared" si="78"/>
        <v/>
      </c>
      <c r="J82" s="354">
        <f t="shared" si="78"/>
        <v>1</v>
      </c>
      <c r="K82" s="354" t="str">
        <f t="shared" si="78"/>
        <v/>
      </c>
      <c r="L82" s="354">
        <f t="shared" si="78"/>
        <v>1</v>
      </c>
      <c r="M82" s="354" t="str">
        <f t="shared" si="78"/>
        <v/>
      </c>
      <c r="N82" s="355"/>
      <c r="O82" s="355"/>
      <c r="S82" s="13" t="s">
        <v>1786</v>
      </c>
      <c r="T82" s="5" t="s">
        <v>1787</v>
      </c>
      <c r="U82" s="373">
        <f>VLOOKUP($S62,Schlüssel!$A$5:$CX$10,23)</f>
        <v>1</v>
      </c>
      <c r="V82" s="374"/>
      <c r="W82" s="373">
        <f>VLOOKUP($S62,Schlüssel!$A$5:$DQ$10,24)</f>
        <v>1</v>
      </c>
      <c r="X82" s="374"/>
      <c r="Y82" s="373">
        <f>VLOOKUP($S62,Schlüssel!$A$5:$DQ$10,25)</f>
        <v>1</v>
      </c>
      <c r="Z82" s="374"/>
      <c r="AA82" s="373">
        <f>VLOOKUP($S62,Schlüssel!$A$5:$DQ$10,26)</f>
        <v>1</v>
      </c>
      <c r="AB82" s="374"/>
      <c r="AC82" s="373">
        <f>VLOOKUP($S62,Schlüssel!$A$5:$DQ$10,27)</f>
        <v>1</v>
      </c>
      <c r="AD82" s="374"/>
      <c r="AE82" s="373">
        <f>VLOOKUP($S62,Schlüssel!$A$5:$DQ$10,28)</f>
        <v>1</v>
      </c>
      <c r="AF82" s="374"/>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M84" si="79">IF(S83=0,"",S83)</f>
        <v/>
      </c>
      <c r="C83" s="1" t="str">
        <f t="shared" si="79"/>
        <v/>
      </c>
      <c r="D83" s="351" t="str">
        <f t="shared" si="79"/>
        <v>Kleeblatt Fürth</v>
      </c>
      <c r="E83" s="352" t="str">
        <f t="shared" si="79"/>
        <v/>
      </c>
      <c r="F83" s="351" t="str">
        <f t="shared" si="79"/>
        <v>Kleeblatt Fürth</v>
      </c>
      <c r="G83" s="352" t="str">
        <f t="shared" si="79"/>
        <v/>
      </c>
      <c r="H83" s="351" t="str">
        <f t="shared" si="79"/>
        <v>Kleeblatt Fürth</v>
      </c>
      <c r="I83" s="352" t="str">
        <f t="shared" si="79"/>
        <v/>
      </c>
      <c r="J83" s="351" t="str">
        <f t="shared" si="79"/>
        <v>Kleeblatt Fürth</v>
      </c>
      <c r="K83" s="352" t="str">
        <f t="shared" si="79"/>
        <v/>
      </c>
      <c r="L83" s="351" t="str">
        <f t="shared" si="79"/>
        <v>Kleeblatt Fürth</v>
      </c>
      <c r="M83" s="352" t="str">
        <f t="shared" si="79"/>
        <v/>
      </c>
      <c r="N83" s="353"/>
      <c r="O83" s="353"/>
      <c r="S83" s="4"/>
      <c r="T83" s="1"/>
      <c r="U83" s="351" t="str">
        <f>VLOOKUP(U82,Schlüssel!$A$5:$K$10,2)</f>
        <v>Kleeblatt Fürth</v>
      </c>
      <c r="V83" s="352"/>
      <c r="W83" s="351" t="str">
        <f>VLOOKUP(W82,Schlüssel!$A$5:$K$10,2)</f>
        <v>Kleeblatt Fürth</v>
      </c>
      <c r="X83" s="352"/>
      <c r="Y83" s="351" t="str">
        <f>VLOOKUP(Y82,Schlüssel!$A$5:$K$10,2)</f>
        <v>Kleeblatt Fürth</v>
      </c>
      <c r="Z83" s="352"/>
      <c r="AA83" s="351" t="str">
        <f>VLOOKUP(AA82,Schlüssel!$A$5:$K$10,2)</f>
        <v>Kleeblatt Fürth</v>
      </c>
      <c r="AB83" s="352"/>
      <c r="AC83" s="351" t="str">
        <f>VLOOKUP(AC82,Schlüssel!$A$5:$K$10,2)</f>
        <v>Kleeblatt Fürth</v>
      </c>
      <c r="AD83" s="352"/>
      <c r="AE83" s="351" t="str">
        <f>VLOOKUP(AE82,Schlüssel!$A$5:$K$10,2)</f>
        <v>Kleeblatt Fürth</v>
      </c>
      <c r="AF83" s="35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50" t="str">
        <f t="shared" si="79"/>
        <v/>
      </c>
      <c r="E84" s="350" t="str">
        <f t="shared" si="79"/>
        <v/>
      </c>
      <c r="F84" s="350" t="str">
        <f t="shared" si="79"/>
        <v/>
      </c>
      <c r="G84" s="350" t="str">
        <f t="shared" si="79"/>
        <v/>
      </c>
      <c r="H84" s="350" t="str">
        <f t="shared" si="79"/>
        <v/>
      </c>
      <c r="I84" s="350" t="str">
        <f t="shared" si="79"/>
        <v/>
      </c>
      <c r="J84" s="350" t="str">
        <f t="shared" si="79"/>
        <v/>
      </c>
      <c r="K84" s="350" t="str">
        <f t="shared" si="79"/>
        <v/>
      </c>
      <c r="L84" s="350" t="str">
        <f t="shared" si="79"/>
        <v/>
      </c>
      <c r="M84" s="350"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5" t="str">
        <f t="shared" ref="B85:C89" si="80">IF(S85=0,"",S85)</f>
        <v>Spieler 1</v>
      </c>
      <c r="C85" s="376" t="str">
        <f t="shared" si="80"/>
        <v/>
      </c>
      <c r="D85" s="348">
        <f>IF(U85=301,"",U85)</f>
        <v>111</v>
      </c>
      <c r="E85" s="348" t="str">
        <f>IF(V85=0,"",V85)</f>
        <v/>
      </c>
      <c r="F85" s="348">
        <f>IF(W85=301,"",W85)</f>
        <v>0</v>
      </c>
      <c r="G85" s="348" t="str">
        <f>IF(X85=0,"",X85)</f>
        <v/>
      </c>
      <c r="H85" s="348">
        <f>IF(Y85=301,"",Y85)</f>
        <v>0</v>
      </c>
      <c r="I85" s="348" t="str">
        <f>IF(Z85=0,"",Z85)</f>
        <v/>
      </c>
      <c r="J85" s="348">
        <f>IF(AA85=301,"",AA85)</f>
        <v>0</v>
      </c>
      <c r="K85" s="348" t="str">
        <f>IF(AB85=0,"",AB85)</f>
        <v/>
      </c>
      <c r="L85" s="348">
        <f>IF(AC85=301,"",AC85)</f>
        <v>0</v>
      </c>
      <c r="M85" s="348" t="str">
        <f>IF(AD85=0,"",AD85)</f>
        <v/>
      </c>
      <c r="N85" s="349"/>
      <c r="O85" s="349"/>
      <c r="S85" s="35" t="s">
        <v>0</v>
      </c>
      <c r="T85" s="36"/>
      <c r="U85" s="371">
        <f>ABS(INDEX(U:U,MATCH(U82,$S:$S,0)+5)+INDEX(U:U,MATCH(U82,$S:$S,0)+6)+INDEX(U:U,MATCH(U82,$S:$S,0)+7))</f>
        <v>111</v>
      </c>
      <c r="V85" s="372"/>
      <c r="W85" s="371">
        <f>ABS(INDEX(W:W,MATCH(W82,$S:$S,0)+5)+INDEX(W:W,MATCH(W82,$S:$S,0)+6)+INDEX(W:W,MATCH(W82,$S:$S,0)+7))</f>
        <v>0</v>
      </c>
      <c r="X85" s="372"/>
      <c r="Y85" s="371">
        <f>ABS(INDEX(Y:Y,MATCH(Y82,$S:$S,0)+5)+INDEX(Y:Y,MATCH(Y82,$S:$S,0)+6)+INDEX(Y:Y,MATCH(Y82,$S:$S,0)+7))</f>
        <v>0</v>
      </c>
      <c r="Z85" s="372"/>
      <c r="AA85" s="371">
        <f>ABS(INDEX(AA:AA,MATCH(AA82,$S:$S,0)+5)+INDEX(AA:AA,MATCH(AA82,$S:$S,0)+6)+INDEX(AA:AA,MATCH(AA82,$S:$S,0)+7))</f>
        <v>0</v>
      </c>
      <c r="AB85" s="372"/>
      <c r="AC85" s="371">
        <f>ABS(INDEX(AC:AC,MATCH(AC82,$S:$S,0)+5)+INDEX(AC:AC,MATCH(AC82,$S:$S,0)+6)+INDEX(AC:AC,MATCH(AC82,$S:$S,0)+7))</f>
        <v>0</v>
      </c>
      <c r="AD85" s="372"/>
      <c r="AE85" s="371">
        <f>ABS(INDEX(AE:AE,MATCH(AE82,$S:$S,0)+5)+INDEX(AE:AE,MATCH(AE82,$S:$S,0)+6)+INDEX(AE:AE,MATCH(AE82,$S:$S,0)+7))</f>
        <v>0</v>
      </c>
      <c r="AF85" s="372"/>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5" t="str">
        <f t="shared" si="80"/>
        <v>Spieler 2</v>
      </c>
      <c r="C86" s="376" t="str">
        <f t="shared" si="80"/>
        <v/>
      </c>
      <c r="D86" s="348">
        <f>IF(U86=301,"",U86)</f>
        <v>0</v>
      </c>
      <c r="E86" s="348" t="str">
        <f>IF(V86=0,"",V86)</f>
        <v/>
      </c>
      <c r="F86" s="348">
        <f>IF(W86=301,"",W86)</f>
        <v>0</v>
      </c>
      <c r="G86" s="348" t="str">
        <f>IF(X86=0,"",X86)</f>
        <v/>
      </c>
      <c r="H86" s="348">
        <f>IF(Y86=301,"",Y86)</f>
        <v>0</v>
      </c>
      <c r="I86" s="348" t="str">
        <f>IF(Z86=0,"",Z86)</f>
        <v/>
      </c>
      <c r="J86" s="348">
        <f>IF(AA86=301,"",AA86)</f>
        <v>0</v>
      </c>
      <c r="K86" s="348" t="str">
        <f>IF(AB86=0,"",AB86)</f>
        <v/>
      </c>
      <c r="L86" s="348">
        <f>IF(AC86=301,"",AC86)</f>
        <v>0</v>
      </c>
      <c r="M86" s="348" t="str">
        <f>IF(AD86=0,"",AD86)</f>
        <v/>
      </c>
      <c r="N86" s="349"/>
      <c r="O86" s="349"/>
      <c r="S86" s="35" t="s">
        <v>2</v>
      </c>
      <c r="T86" s="36"/>
      <c r="U86" s="369">
        <f>ABS(INDEX(U:U,MATCH(U82,$S:$S,0)+8)+INDEX(U:U,MATCH(U82,$S:$S,0)+9)+INDEX(U:U,MATCH(U82,$S:$S,0)+10))</f>
        <v>0</v>
      </c>
      <c r="V86" s="370"/>
      <c r="W86" s="369">
        <f>ABS(INDEX(W:W,MATCH(W82,$S:$S,0)+8)+INDEX(W:W,MATCH(W82,$S:$S,0)+9)+INDEX(W:W,MATCH(W82,$S:$S,0)+10))</f>
        <v>0</v>
      </c>
      <c r="X86" s="370"/>
      <c r="Y86" s="369">
        <f>ABS(INDEX(Y:Y,MATCH(Y82,$S:$S,0)+8)+INDEX(Y:Y,MATCH(Y82,$S:$S,0)+9)+INDEX(Y:Y,MATCH(Y82,$S:$S,0)+10))</f>
        <v>0</v>
      </c>
      <c r="Z86" s="370"/>
      <c r="AA86" s="369">
        <f>ABS(INDEX(AA:AA,MATCH(AA82,$S:$S,0)+8)+INDEX(AA:AA,MATCH(AA82,$S:$S,0)+9)+INDEX(AA:AA,MATCH(AA82,$S:$S,0)+10))</f>
        <v>0</v>
      </c>
      <c r="AB86" s="370"/>
      <c r="AC86" s="369">
        <f>ABS(INDEX(AC:AC,MATCH(AC82,$S:$S,0)+8)+INDEX(AC:AC,MATCH(AC82,$S:$S,0)+9)+INDEX(AC:AC,MATCH(AC82,$S:$S,0)+10))</f>
        <v>0</v>
      </c>
      <c r="AD86" s="370"/>
      <c r="AE86" s="369">
        <f>ABS(INDEX(AE:AE,MATCH(AE82,$S:$S,0)+8)+INDEX(AE:AE,MATCH(AE82,$S:$S,0)+9)+INDEX(AE:AE,MATCH(AE82,$S:$S,0)+10))</f>
        <v>0</v>
      </c>
      <c r="AF86" s="370"/>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5" t="str">
        <f t="shared" si="80"/>
        <v>Spieler 3</v>
      </c>
      <c r="C87" s="376" t="str">
        <f t="shared" si="80"/>
        <v/>
      </c>
      <c r="D87" s="348">
        <f>IF(U87=301,"",U87)</f>
        <v>0</v>
      </c>
      <c r="E87" s="348" t="str">
        <f>IF(V87=0,"",V87)</f>
        <v/>
      </c>
      <c r="F87" s="348">
        <f>IF(W87=301,"",W87)</f>
        <v>0</v>
      </c>
      <c r="G87" s="348" t="str">
        <f>IF(X87=0,"",X87)</f>
        <v/>
      </c>
      <c r="H87" s="348">
        <f>IF(Y87=301,"",Y87)</f>
        <v>0</v>
      </c>
      <c r="I87" s="348" t="str">
        <f>IF(Z87=0,"",Z87)</f>
        <v/>
      </c>
      <c r="J87" s="348">
        <f>IF(AA87=301,"",AA87)</f>
        <v>0</v>
      </c>
      <c r="K87" s="348" t="str">
        <f>IF(AB87=0,"",AB87)</f>
        <v/>
      </c>
      <c r="L87" s="348">
        <f>IF(AC87=301,"",AC87)</f>
        <v>0</v>
      </c>
      <c r="M87" s="348" t="str">
        <f>IF(AD87=0,"",AD87)</f>
        <v/>
      </c>
      <c r="N87" s="349"/>
      <c r="O87" s="349"/>
      <c r="S87" s="35" t="s">
        <v>3</v>
      </c>
      <c r="T87" s="36"/>
      <c r="U87" s="369">
        <f>ABS(INDEX(U:U,MATCH(U82,$S:$S,0)+11)+INDEX(U:U,MATCH(U82,$S:$S,0)+12)+INDEX(U:U,MATCH(U82,$S:$S,0)+13))</f>
        <v>0</v>
      </c>
      <c r="V87" s="370"/>
      <c r="W87" s="369">
        <f>ABS(INDEX(W:W,MATCH(W82,$S:$S,0)+11)+INDEX(W:W,MATCH(W82,$S:$S,0)+12)+INDEX(W:W,MATCH(W82,$S:$S,0)+13))</f>
        <v>0</v>
      </c>
      <c r="X87" s="370"/>
      <c r="Y87" s="369">
        <f>ABS(INDEX(Y:Y,MATCH(Y82,$S:$S,0)+11)+INDEX(Y:Y,MATCH(Y82,$S:$S,0)+12)+INDEX(Y:Y,MATCH(Y82,$S:$S,0)+13))</f>
        <v>0</v>
      </c>
      <c r="Z87" s="370"/>
      <c r="AA87" s="369">
        <f>ABS(INDEX(AA:AA,MATCH(AA82,$S:$S,0)+11)+INDEX(AA:AA,MATCH(AA82,$S:$S,0)+12)+INDEX(AA:AA,MATCH(AA82,$S:$S,0)+13))</f>
        <v>0</v>
      </c>
      <c r="AB87" s="370"/>
      <c r="AC87" s="369">
        <f>ABS(INDEX(AC:AC,MATCH(AC82,$S:$S,0)+11)+INDEX(AC:AC,MATCH(AC82,$S:$S,0)+12)+INDEX(AC:AC,MATCH(AC82,$S:$S,0)+13))</f>
        <v>0</v>
      </c>
      <c r="AD87" s="370"/>
      <c r="AE87" s="369">
        <f>ABS(INDEX(AE:AE,MATCH(AE82,$S:$S,0)+11)+INDEX(AE:AE,MATCH(AE82,$S:$S,0)+12)+INDEX(AE:AE,MATCH(AE82,$S:$S,0)+13))</f>
        <v>0</v>
      </c>
      <c r="AF87" s="370"/>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5" t="str">
        <f t="shared" si="80"/>
        <v>Spieler 4</v>
      </c>
      <c r="C88" s="376" t="str">
        <f t="shared" si="80"/>
        <v/>
      </c>
      <c r="D88" s="348">
        <f>IF(U88=301,"",U88)</f>
        <v>0</v>
      </c>
      <c r="E88" s="348" t="str">
        <f>IF(V88=0,"",V88)</f>
        <v/>
      </c>
      <c r="F88" s="348">
        <f>IF(W88=301,"",W88)</f>
        <v>0</v>
      </c>
      <c r="G88" s="348" t="str">
        <f>IF(X88=0,"",X88)</f>
        <v/>
      </c>
      <c r="H88" s="348">
        <f>IF(Y88=301,"",Y88)</f>
        <v>0</v>
      </c>
      <c r="I88" s="348" t="str">
        <f>IF(Z88=0,"",Z88)</f>
        <v/>
      </c>
      <c r="J88" s="348">
        <f>IF(AA88=301,"",AA88)</f>
        <v>0</v>
      </c>
      <c r="K88" s="348" t="str">
        <f>IF(AB88=0,"",AB88)</f>
        <v/>
      </c>
      <c r="L88" s="348">
        <f>IF(AC88=301,"",AC88)</f>
        <v>0</v>
      </c>
      <c r="M88" s="348" t="str">
        <f>IF(AD88=0,"",AD88)</f>
        <v/>
      </c>
      <c r="N88" s="349"/>
      <c r="O88" s="349"/>
      <c r="S88" s="35" t="s">
        <v>11</v>
      </c>
      <c r="T88" s="36"/>
      <c r="U88" s="369">
        <f>ABS(INDEX(U:U,MATCH(U82,$S:$S,0)+14)+INDEX(U:U,MATCH(U82,$S:$S,0)+15)+INDEX(U:U,MATCH(U82,$S:$S,0)+16))</f>
        <v>0</v>
      </c>
      <c r="V88" s="370"/>
      <c r="W88" s="369">
        <f>ABS(INDEX(W:W,MATCH(W82,$S:$S,0)+14)+INDEX(W:W,MATCH(W82,$S:$S,0)+15)+INDEX(W:W,MATCH(W82,$S:$S,0)+16))</f>
        <v>0</v>
      </c>
      <c r="X88" s="370"/>
      <c r="Y88" s="369">
        <f>ABS(INDEX(Y:Y,MATCH(Y82,$S:$S,0)+14)+INDEX(Y:Y,MATCH(Y82,$S:$S,0)+15)+INDEX(Y:Y,MATCH(Y82,$S:$S,0)+16))</f>
        <v>0</v>
      </c>
      <c r="Z88" s="370"/>
      <c r="AA88" s="369">
        <f>ABS(INDEX(AA:AA,MATCH(AA82,$S:$S,0)+14)+INDEX(AA:AA,MATCH(AA82,$S:$S,0)+15)+INDEX(AA:AA,MATCH(AA82,$S:$S,0)+16))</f>
        <v>0</v>
      </c>
      <c r="AB88" s="370"/>
      <c r="AC88" s="369">
        <f>ABS(INDEX(AC:AC,MATCH(AC82,$S:$S,0)+14)+INDEX(AC:AC,MATCH(AC82,$S:$S,0)+15)+INDEX(AC:AC,MATCH(AC82,$S:$S,0)+16))</f>
        <v>0</v>
      </c>
      <c r="AD88" s="370"/>
      <c r="AE88" s="369">
        <f>ABS(INDEX(AE:AE,MATCH(AE82,$S:$S,0)+14)+INDEX(AE:AE,MATCH(AE82,$S:$S,0)+15)+INDEX(AE:AE,MATCH(AE82,$S:$S,0)+16))</f>
        <v>0</v>
      </c>
      <c r="AF88" s="370"/>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3" t="str">
        <f t="shared" si="80"/>
        <v>Gesamt</v>
      </c>
      <c r="C89" s="364" t="str">
        <f t="shared" si="80"/>
        <v/>
      </c>
      <c r="D89" s="347">
        <f>IF(U89=1505,"",U89)</f>
        <v>111</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12"/>
      <c r="O89" s="312"/>
      <c r="S89" s="37" t="s">
        <v>1788</v>
      </c>
      <c r="T89" s="38"/>
      <c r="U89" s="363">
        <f>SUM(U85:U88)</f>
        <v>111</v>
      </c>
      <c r="V89" s="364"/>
      <c r="W89" s="363">
        <f>SUM(W85:W88)</f>
        <v>0</v>
      </c>
      <c r="X89" s="364"/>
      <c r="Y89" s="363">
        <f>SUM(Y85:Y88)</f>
        <v>0</v>
      </c>
      <c r="Z89" s="364"/>
      <c r="AA89" s="363">
        <f>SUM(AA85:AA88)</f>
        <v>0</v>
      </c>
      <c r="AB89" s="364"/>
      <c r="AC89" s="363">
        <f>SUM(AC85:AC88)</f>
        <v>0</v>
      </c>
      <c r="AD89" s="364"/>
      <c r="AE89" s="363">
        <f>SUM(AE85:AE88)</f>
        <v>0</v>
      </c>
      <c r="AF89" s="364"/>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B87:C87"/>
    <mergeCell ref="D87:E87"/>
    <mergeCell ref="F87:G87"/>
    <mergeCell ref="H87:I87"/>
    <mergeCell ref="J87:K87"/>
    <mergeCell ref="L87:M87"/>
    <mergeCell ref="N85:O85"/>
    <mergeCell ref="B86:C86"/>
    <mergeCell ref="D86:E86"/>
    <mergeCell ref="F86:G86"/>
    <mergeCell ref="H86:I86"/>
    <mergeCell ref="J86:K86"/>
    <mergeCell ref="N87:O87"/>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U83:V83"/>
    <mergeCell ref="W83:X83"/>
    <mergeCell ref="Y83:Z83"/>
    <mergeCell ref="AA83:AB83"/>
    <mergeCell ref="AC83:AD83"/>
    <mergeCell ref="D83:E83"/>
    <mergeCell ref="F83:G83"/>
    <mergeCell ref="H83:I83"/>
    <mergeCell ref="J83:K83"/>
    <mergeCell ref="L83:M83"/>
    <mergeCell ref="N83:O83"/>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R67:R69"/>
    <mergeCell ref="A70:A72"/>
    <mergeCell ref="E70:E72"/>
    <mergeCell ref="G70:G72"/>
    <mergeCell ref="I70:I72"/>
    <mergeCell ref="K70:K72"/>
    <mergeCell ref="M70:M72"/>
    <mergeCell ref="O70:O72"/>
    <mergeCell ref="R70:R72"/>
    <mergeCell ref="D65:E65"/>
    <mergeCell ref="F65:G65"/>
    <mergeCell ref="H65:I65"/>
    <mergeCell ref="J65:K65"/>
    <mergeCell ref="L65:M65"/>
    <mergeCell ref="N65:O65"/>
    <mergeCell ref="A67:A69"/>
    <mergeCell ref="E67:E69"/>
    <mergeCell ref="G67:G69"/>
    <mergeCell ref="I67:I69"/>
    <mergeCell ref="K67:K69"/>
    <mergeCell ref="M67:M69"/>
    <mergeCell ref="O67:O69"/>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N56:O56"/>
    <mergeCell ref="B55:C55"/>
    <mergeCell ref="D55:E55"/>
    <mergeCell ref="F55:G55"/>
    <mergeCell ref="H55:I55"/>
    <mergeCell ref="J55:K55"/>
    <mergeCell ref="L55:M55"/>
    <mergeCell ref="B57:C57"/>
    <mergeCell ref="D57:E57"/>
    <mergeCell ref="F57:G57"/>
    <mergeCell ref="H57:I57"/>
    <mergeCell ref="J57:K57"/>
    <mergeCell ref="L57:M57"/>
    <mergeCell ref="F53:G53"/>
    <mergeCell ref="H53:I53"/>
    <mergeCell ref="J53:K53"/>
    <mergeCell ref="L53:M53"/>
    <mergeCell ref="B56:C56"/>
    <mergeCell ref="D56:E56"/>
    <mergeCell ref="F56:G56"/>
    <mergeCell ref="H56:I56"/>
    <mergeCell ref="J56:K56"/>
    <mergeCell ref="L56:M56"/>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A37:A39"/>
    <mergeCell ref="E37:E39"/>
    <mergeCell ref="G37:G39"/>
    <mergeCell ref="I37:I39"/>
    <mergeCell ref="K37:K39"/>
    <mergeCell ref="M37:M39"/>
    <mergeCell ref="O37:O39"/>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B26:C26"/>
    <mergeCell ref="D26:E26"/>
    <mergeCell ref="F26:G26"/>
    <mergeCell ref="H26:I26"/>
    <mergeCell ref="J26:K26"/>
    <mergeCell ref="L26:M26"/>
    <mergeCell ref="N26:O26"/>
    <mergeCell ref="B25:C25"/>
    <mergeCell ref="D25:E25"/>
    <mergeCell ref="F25:G25"/>
    <mergeCell ref="H25:I25"/>
    <mergeCell ref="J25:K25"/>
    <mergeCell ref="L25:M25"/>
    <mergeCell ref="D24:E24"/>
    <mergeCell ref="F24:G24"/>
    <mergeCell ref="H24:I24"/>
    <mergeCell ref="J24:K24"/>
    <mergeCell ref="L24:M24"/>
    <mergeCell ref="D23:E23"/>
    <mergeCell ref="F23:G23"/>
    <mergeCell ref="H23:I23"/>
    <mergeCell ref="J23:K23"/>
    <mergeCell ref="L23:M23"/>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U27:V27"/>
    <mergeCell ref="W27:X27"/>
    <mergeCell ref="Y27:Z27"/>
    <mergeCell ref="AA27:AB27"/>
    <mergeCell ref="AC27:AD27"/>
    <mergeCell ref="U28:V28"/>
    <mergeCell ref="W28:X28"/>
    <mergeCell ref="Y28:Z28"/>
    <mergeCell ref="AA28:AB28"/>
    <mergeCell ref="AC28:AD28"/>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s>
  <dataValidations count="1">
    <dataValidation type="whole" allowBlank="1" showErrorMessage="1" error="Es sind nur Zahlen zwischen -300 und 300 erlaubt!" sqref="U7:AF18 U37:AF48 U67:AF78" xr:uid="{00000000-0002-0000-0B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21"/>
  <sheetViews>
    <sheetView workbookViewId="0">
      <selection activeCell="B8" sqref="B8"/>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5" width="11.44140625" hidden="1" customWidth="1"/>
    <col min="36" max="50" width="11.44140625" customWidth="1"/>
  </cols>
  <sheetData>
    <row r="1" spans="1:31" ht="28.5" customHeight="1" x14ac:dyDescent="0.25">
      <c r="A1" s="382" t="str">
        <f>Schlüssel!$C$1</f>
        <v>Landesliga Nord Frauen</v>
      </c>
      <c r="B1" s="382"/>
      <c r="C1" s="382"/>
      <c r="D1" s="382"/>
      <c r="E1" s="382"/>
      <c r="F1" s="382"/>
      <c r="G1" s="382"/>
      <c r="H1" s="382"/>
      <c r="I1" s="382"/>
      <c r="J1" s="382"/>
      <c r="K1" s="382"/>
      <c r="L1" s="382"/>
      <c r="M1" s="382"/>
      <c r="N1" s="382"/>
      <c r="O1" s="382"/>
      <c r="P1" s="382"/>
      <c r="Q1" s="382"/>
      <c r="R1" s="51"/>
      <c r="S1" s="51"/>
      <c r="AA1" s="223" t="s">
        <v>2086</v>
      </c>
    </row>
    <row r="2" spans="1:31" ht="28.5" customHeight="1" x14ac:dyDescent="0.25">
      <c r="A2" s="383" t="str">
        <f>"Saison "&amp;Spielorte!C18&amp;"     -     Spieltag "&amp;Erfassung2!AD2&amp;"     -     "&amp;TEXT(Erfassung2!AD1,"T. MMMM JJJJ")</f>
        <v>Saison 2024/2025     -     Spieltag 2     -     13.10.</v>
      </c>
      <c r="B2" s="383"/>
      <c r="C2" s="383"/>
      <c r="D2" s="383"/>
      <c r="E2" s="383"/>
      <c r="F2" s="383"/>
      <c r="G2" s="383"/>
      <c r="H2" s="383"/>
      <c r="I2" s="383"/>
      <c r="J2" s="383"/>
      <c r="K2" s="383"/>
      <c r="L2" s="383"/>
      <c r="M2" s="383"/>
      <c r="N2" s="383"/>
      <c r="O2" s="383"/>
      <c r="P2" s="383"/>
      <c r="Q2" s="383"/>
      <c r="R2" s="51"/>
      <c r="S2" s="51"/>
    </row>
    <row r="3" spans="1:31" ht="28.5" customHeight="1" x14ac:dyDescent="0.25">
      <c r="A3" s="383" t="str">
        <f>+Erfassung2!V2</f>
        <v>Nürnberg West Bowling</v>
      </c>
      <c r="B3" s="383"/>
      <c r="C3" s="383"/>
      <c r="D3" s="383"/>
      <c r="E3" s="383"/>
      <c r="F3" s="383"/>
      <c r="G3" s="383"/>
      <c r="H3" s="383"/>
      <c r="I3" s="383"/>
      <c r="J3" s="383"/>
      <c r="K3" s="383"/>
      <c r="L3" s="383"/>
      <c r="M3" s="383"/>
      <c r="N3" s="383"/>
      <c r="O3" s="383"/>
      <c r="P3" s="383"/>
      <c r="Q3" s="383"/>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84" t="s">
        <v>1800</v>
      </c>
      <c r="B5" s="393" t="s">
        <v>1801</v>
      </c>
      <c r="C5" s="389" t="s">
        <v>1789</v>
      </c>
      <c r="D5" s="390"/>
      <c r="E5" s="389" t="s">
        <v>1790</v>
      </c>
      <c r="F5" s="390"/>
      <c r="G5" s="389" t="s">
        <v>1791</v>
      </c>
      <c r="H5" s="390"/>
      <c r="I5" s="389" t="s">
        <v>1792</v>
      </c>
      <c r="J5" s="390"/>
      <c r="K5" s="389" t="s">
        <v>1793</v>
      </c>
      <c r="L5" s="390"/>
      <c r="M5" s="395" t="s">
        <v>2088</v>
      </c>
      <c r="N5" s="390"/>
      <c r="O5" s="389" t="s">
        <v>1788</v>
      </c>
      <c r="P5" s="390"/>
      <c r="Q5" s="391" t="s">
        <v>1802</v>
      </c>
      <c r="R5" s="51"/>
      <c r="S5" s="51"/>
    </row>
    <row r="6" spans="1:31" ht="13.8" thickBot="1" x14ac:dyDescent="0.3">
      <c r="A6" s="385"/>
      <c r="B6" s="394"/>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2"/>
      <c r="R6" s="51"/>
      <c r="S6" s="51"/>
      <c r="AA6" s="223" t="s">
        <v>1796</v>
      </c>
      <c r="AB6" s="223" t="s">
        <v>2073</v>
      </c>
      <c r="AC6" s="223" t="s">
        <v>2085</v>
      </c>
      <c r="AD6" s="223" t="s">
        <v>1818</v>
      </c>
      <c r="AE6" s="223" t="s">
        <v>1815</v>
      </c>
    </row>
    <row r="7" spans="1:31" ht="42" customHeight="1" thickBot="1" x14ac:dyDescent="0.3">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3">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3">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6" x14ac:dyDescent="0.3">
      <c r="B12" s="388" t="s">
        <v>1812</v>
      </c>
      <c r="C12" s="388"/>
      <c r="D12" s="388"/>
      <c r="E12" s="388"/>
      <c r="F12" s="388"/>
      <c r="G12" s="388"/>
      <c r="H12" s="388"/>
      <c r="I12" s="388"/>
      <c r="J12" s="388"/>
      <c r="K12" s="388"/>
      <c r="L12" s="388"/>
      <c r="M12" s="388"/>
      <c r="N12" s="388"/>
      <c r="O12" s="388"/>
      <c r="P12" s="388"/>
      <c r="Q12" s="388"/>
      <c r="R12" s="106"/>
      <c r="S12" s="106"/>
    </row>
    <row r="13" spans="1:31" x14ac:dyDescent="0.25">
      <c r="C13" s="386"/>
      <c r="D13" s="386"/>
      <c r="E13" s="386"/>
      <c r="F13" s="386"/>
      <c r="G13" s="386"/>
      <c r="H13" s="386"/>
    </row>
    <row r="14" spans="1:31" x14ac:dyDescent="0.25">
      <c r="B14" s="106" t="s">
        <v>1813</v>
      </c>
      <c r="C14" t="str">
        <f>IFERROR(INDEX(Erfassung2!S:S,MATCH(1,Erfassung2!BS:BS,0)),"")</f>
        <v/>
      </c>
      <c r="H14" t="str">
        <f>INDEX(Erfassung2!BR:BR,MATCH(C14,Erfassung2!S:S,0))</f>
        <v>Kleeblatt Fürth</v>
      </c>
      <c r="N14" s="104">
        <f>IFERROR(ROUND(INDEX(Erfassung2!BQ:BQ,MATCH(1,Erfassung2!BS:BS,0)),0),"")</f>
        <v>111</v>
      </c>
    </row>
    <row r="15" spans="1:31" x14ac:dyDescent="0.25">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5">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5">
      <c r="B17" s="106" t="s">
        <v>1814</v>
      </c>
      <c r="C17" t="str">
        <f>IFERROR(INDEX(Erfassung2!S:S,MATCH(1,Erfassung2!BW:BW,0)),"")</f>
        <v/>
      </c>
      <c r="H17" t="str">
        <f>INDEX(Erfassung2!BR:BR,MATCH(C17,Erfassung2!S:S,0))</f>
        <v>Kleeblatt Fürth</v>
      </c>
      <c r="N17" s="387" t="str">
        <f>IFERROR(ROUND(INDEX(Erfassung2!BT:BT,MATCH(1,Erfassung2!BW:BW,0)),0),"")&amp;"  /  "&amp;ROUND(IFERROR(ROUND(INDEX(Erfassung2!BT:BT,MATCH(1,Erfassung2!BW:BW,0)),0),"")/6,2)</f>
        <v>0  /  0</v>
      </c>
      <c r="O17" s="387"/>
      <c r="R17" s="92"/>
    </row>
    <row r="18" spans="2:18" x14ac:dyDescent="0.25">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5">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5"/>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O9"/>
  <sheetViews>
    <sheetView workbookViewId="0">
      <selection activeCell="D85" sqref="D85:M85"/>
    </sheetView>
  </sheetViews>
  <sheetFormatPr baseColWidth="10" defaultRowHeight="13.2" x14ac:dyDescent="0.25"/>
  <cols>
    <col min="1" max="1" width="4.109375" customWidth="1"/>
    <col min="2" max="2" width="21.5546875" customWidth="1"/>
    <col min="3" max="6" width="8.5546875" customWidth="1"/>
    <col min="7" max="7" width="13.44140625" customWidth="1"/>
    <col min="8" max="8" width="9.44140625" customWidth="1"/>
    <col min="10" max="10" width="6.44140625" customWidth="1"/>
  </cols>
  <sheetData>
    <row r="1" spans="1:15" ht="28.5" customHeight="1" x14ac:dyDescent="0.25">
      <c r="A1" s="382" t="str">
        <f>Schlüssel!$C$1</f>
        <v>Landesliga Nord Frauen</v>
      </c>
      <c r="B1" s="382"/>
      <c r="C1" s="382"/>
      <c r="D1" s="382"/>
      <c r="E1" s="382"/>
      <c r="F1" s="382"/>
      <c r="G1" s="382"/>
      <c r="H1" s="382"/>
      <c r="I1" s="382"/>
    </row>
    <row r="2" spans="1:15" ht="28.5" customHeight="1" x14ac:dyDescent="0.25">
      <c r="A2" s="383" t="str">
        <f>"Saison "&amp;Spielorte!C18&amp;"     -     Spieltag "&amp;Erfassung2!AD2&amp;"     -     "&amp;TEXT(Erfassung2!AD1,"T. MMMM JJJJ")</f>
        <v>Saison 2024/2025     -     Spieltag 2     -     13.10.</v>
      </c>
      <c r="B2" s="383"/>
      <c r="C2" s="383"/>
      <c r="D2" s="383"/>
      <c r="E2" s="383"/>
      <c r="F2" s="383"/>
      <c r="G2" s="383"/>
      <c r="H2" s="383"/>
      <c r="I2" s="383"/>
      <c r="J2" s="72"/>
      <c r="K2" s="72"/>
      <c r="L2" s="72"/>
      <c r="M2" s="72"/>
      <c r="N2" s="72"/>
      <c r="O2" s="72"/>
    </row>
    <row r="3" spans="1:15" ht="28.5" customHeight="1" x14ac:dyDescent="0.25">
      <c r="A3" s="382" t="s">
        <v>1859</v>
      </c>
      <c r="B3" s="382"/>
      <c r="C3" s="382"/>
      <c r="D3" s="382"/>
      <c r="E3" s="382"/>
      <c r="F3" s="382"/>
      <c r="G3" s="382"/>
      <c r="H3" s="382"/>
      <c r="I3" s="382"/>
      <c r="J3" s="72"/>
      <c r="K3" s="72"/>
      <c r="L3" s="72"/>
      <c r="M3" s="72"/>
      <c r="N3" s="72"/>
      <c r="O3" s="72"/>
    </row>
    <row r="4" spans="1:15" ht="28.5" customHeight="1" thickBot="1" x14ac:dyDescent="0.3">
      <c r="A4" s="218"/>
      <c r="B4" s="218"/>
      <c r="C4" s="87"/>
      <c r="D4" s="219"/>
      <c r="E4" s="219"/>
      <c r="F4" s="219"/>
      <c r="G4" s="219"/>
      <c r="H4" s="88"/>
      <c r="I4" s="162"/>
    </row>
    <row r="5" spans="1:15" x14ac:dyDescent="0.25">
      <c r="A5" s="384" t="s">
        <v>1800</v>
      </c>
      <c r="B5" s="393" t="s">
        <v>1801</v>
      </c>
      <c r="C5" s="389" t="s">
        <v>1804</v>
      </c>
      <c r="D5" s="390"/>
      <c r="E5" s="396" t="s">
        <v>1805</v>
      </c>
      <c r="F5" s="397"/>
      <c r="G5" s="389" t="s">
        <v>1788</v>
      </c>
      <c r="H5" s="390"/>
      <c r="I5" s="391" t="s">
        <v>1802</v>
      </c>
    </row>
    <row r="6" spans="1:15" ht="13.8" thickBot="1" x14ac:dyDescent="0.3">
      <c r="A6" s="385"/>
      <c r="B6" s="394"/>
      <c r="C6" s="73" t="s">
        <v>1796</v>
      </c>
      <c r="D6" s="74" t="s">
        <v>1797</v>
      </c>
      <c r="E6" s="73" t="s">
        <v>1796</v>
      </c>
      <c r="F6" s="74" t="s">
        <v>1797</v>
      </c>
      <c r="G6" s="73" t="s">
        <v>1796</v>
      </c>
      <c r="H6" s="74" t="s">
        <v>1797</v>
      </c>
      <c r="I6" s="392"/>
    </row>
    <row r="7" spans="1:15" ht="42" customHeight="1" thickBot="1" x14ac:dyDescent="0.3">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3">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3">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87</v>
      </c>
    </row>
    <row r="3" spans="1:16" x14ac:dyDescent="0.25">
      <c r="L3" s="108">
        <f>INDEX(Starter!A:A,ROW()-1)</f>
        <v>38735</v>
      </c>
      <c r="M3" s="108">
        <f>SUMIF(Erfassung2!BD:BD,L3,Erfassung2!BE:BE)</f>
        <v>0</v>
      </c>
      <c r="N3" s="108">
        <f>SUMIF(Erfassung2!BD:BD,L3,Erfassung2!BG:BG)</f>
        <v>0</v>
      </c>
      <c r="O3" s="108">
        <f t="shared" si="0"/>
        <v>0</v>
      </c>
      <c r="P3" s="108">
        <f t="shared" si="1"/>
        <v>87</v>
      </c>
    </row>
    <row r="4" spans="1:16" x14ac:dyDescent="0.25">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87</v>
      </c>
    </row>
    <row r="5" spans="1:16" x14ac:dyDescent="0.25">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110.999999981</v>
      </c>
      <c r="L5" s="108">
        <f>INDEX(Starter!A:A,ROW()-1)</f>
        <v>25478</v>
      </c>
      <c r="M5" s="108">
        <f>SUMIF(Erfassung2!BD:BD,L5,Erfassung2!BE:BE)</f>
        <v>0</v>
      </c>
      <c r="N5" s="108">
        <f>SUMIF(Erfassung2!BD:BD,L5,Erfassung2!BG:BG)</f>
        <v>0</v>
      </c>
      <c r="O5" s="108">
        <f t="shared" si="0"/>
        <v>0</v>
      </c>
      <c r="P5" s="108">
        <f t="shared" si="1"/>
        <v>87</v>
      </c>
    </row>
    <row r="6" spans="1:16" x14ac:dyDescent="0.25">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110.99999998</v>
      </c>
      <c r="L6" s="108">
        <f>INDEX(Starter!A:A,ROW()-1)</f>
        <v>7154</v>
      </c>
      <c r="M6" s="108">
        <f>SUMIF(Erfassung2!BD:BD,L6,Erfassung2!BE:BE)</f>
        <v>0</v>
      </c>
      <c r="N6" s="108">
        <f>SUMIF(Erfassung2!BD:BD,L6,Erfassung2!BG:BG)</f>
        <v>0</v>
      </c>
      <c r="O6" s="108">
        <f t="shared" si="0"/>
        <v>0</v>
      </c>
      <c r="P6" s="108">
        <f t="shared" si="1"/>
        <v>87</v>
      </c>
    </row>
    <row r="7" spans="1:16" x14ac:dyDescent="0.25">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110.99999997899999</v>
      </c>
      <c r="L7" s="108">
        <f>INDEX(Starter!A:A,ROW()-1)</f>
        <v>7956</v>
      </c>
      <c r="M7" s="108">
        <f>SUMIF(Erfassung2!BD:BD,L7,Erfassung2!BE:BE)</f>
        <v>0</v>
      </c>
      <c r="N7" s="108">
        <f>SUMIF(Erfassung2!BD:BD,L7,Erfassung2!BG:BG)</f>
        <v>0</v>
      </c>
      <c r="O7" s="108">
        <f t="shared" si="0"/>
        <v>0</v>
      </c>
      <c r="P7" s="108">
        <f t="shared" si="1"/>
        <v>87</v>
      </c>
    </row>
    <row r="8" spans="1:16" x14ac:dyDescent="0.25">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110.99999997800001</v>
      </c>
      <c r="L8" s="108">
        <f>INDEX(Starter!A:A,ROW()-1)</f>
        <v>38697</v>
      </c>
      <c r="M8" s="108">
        <f>SUMIF(Erfassung2!BD:BD,L8,Erfassung2!BE:BE)</f>
        <v>0</v>
      </c>
      <c r="N8" s="108">
        <f>SUMIF(Erfassung2!BD:BD,L8,Erfassung2!BG:BG)</f>
        <v>0</v>
      </c>
      <c r="O8" s="108">
        <f t="shared" si="0"/>
        <v>0</v>
      </c>
      <c r="P8" s="108">
        <f t="shared" si="1"/>
        <v>87</v>
      </c>
    </row>
    <row r="9" spans="1:16" x14ac:dyDescent="0.25">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110.999999977</v>
      </c>
      <c r="L9" s="108">
        <f>INDEX(Starter!A:A,ROW()-1)</f>
        <v>38512</v>
      </c>
      <c r="M9" s="108">
        <f>SUMIF(Erfassung2!BD:BD,L9,Erfassung2!BE:BE)</f>
        <v>0</v>
      </c>
      <c r="N9" s="108">
        <f>SUMIF(Erfassung2!BD:BD,L9,Erfassung2!BG:BG)</f>
        <v>0</v>
      </c>
      <c r="O9" s="108">
        <f t="shared" si="0"/>
        <v>0</v>
      </c>
      <c r="P9" s="108">
        <f t="shared" si="1"/>
        <v>87</v>
      </c>
    </row>
    <row r="10" spans="1:16" x14ac:dyDescent="0.25">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110.999999976</v>
      </c>
      <c r="L10" s="108">
        <f>INDEX(Starter!A:A,ROW()-1)</f>
        <v>7952</v>
      </c>
      <c r="M10" s="108">
        <f>SUMIF(Erfassung2!BD:BD,L10,Erfassung2!BE:BE)</f>
        <v>0</v>
      </c>
      <c r="N10" s="108">
        <f>SUMIF(Erfassung2!BD:BD,L10,Erfassung2!BG:BG)</f>
        <v>0</v>
      </c>
      <c r="O10" s="108">
        <f t="shared" si="0"/>
        <v>0</v>
      </c>
      <c r="P10" s="108">
        <f t="shared" si="1"/>
        <v>87</v>
      </c>
    </row>
    <row r="11" spans="1:16" x14ac:dyDescent="0.25">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110.99999997499999</v>
      </c>
      <c r="L11" s="108">
        <f>INDEX(Starter!A:A,ROW()-1)</f>
        <v>38825</v>
      </c>
      <c r="M11" s="108">
        <f>SUMIF(Erfassung2!BD:BD,L11,Erfassung2!BE:BE)</f>
        <v>0</v>
      </c>
      <c r="N11" s="108">
        <f>SUMIF(Erfassung2!BD:BD,L11,Erfassung2!BG:BG)</f>
        <v>0</v>
      </c>
      <c r="O11" s="108">
        <f t="shared" si="0"/>
        <v>0</v>
      </c>
      <c r="P11" s="108">
        <f t="shared" si="1"/>
        <v>87</v>
      </c>
    </row>
    <row r="12" spans="1:16" x14ac:dyDescent="0.25">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110.999999974</v>
      </c>
      <c r="L12" s="108">
        <f>INDEX(Starter!A:A,ROW()-1)</f>
        <v>38790</v>
      </c>
      <c r="M12" s="108">
        <f>SUMIF(Erfassung2!BD:BD,L12,Erfassung2!BE:BE)</f>
        <v>0</v>
      </c>
      <c r="N12" s="108">
        <f>SUMIF(Erfassung2!BD:BD,L12,Erfassung2!BG:BG)</f>
        <v>0</v>
      </c>
      <c r="O12" s="108">
        <f t="shared" si="0"/>
        <v>0</v>
      </c>
      <c r="P12" s="108">
        <f t="shared" si="1"/>
        <v>87</v>
      </c>
    </row>
    <row r="13" spans="1:16" x14ac:dyDescent="0.25">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110.999999973</v>
      </c>
      <c r="L13" s="108">
        <f>INDEX(Starter!A:A,ROW()-1)</f>
        <v>7709</v>
      </c>
      <c r="M13" s="108">
        <f>SUMIF(Erfassung2!BD:BD,L13,Erfassung2!BE:BE)</f>
        <v>0</v>
      </c>
      <c r="N13" s="108">
        <f>SUMIF(Erfassung2!BD:BD,L13,Erfassung2!BG:BG)</f>
        <v>0</v>
      </c>
      <c r="O13" s="108">
        <f t="shared" si="0"/>
        <v>0</v>
      </c>
      <c r="P13" s="108">
        <f t="shared" si="1"/>
        <v>87</v>
      </c>
    </row>
    <row r="14" spans="1:16" x14ac:dyDescent="0.25">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110.999999972</v>
      </c>
      <c r="L14" s="108">
        <f>INDEX(Starter!A:A,ROW()-1)</f>
        <v>38401</v>
      </c>
      <c r="M14" s="108">
        <f>SUMIF(Erfassung2!BD:BD,L14,Erfassung2!BE:BE)</f>
        <v>0</v>
      </c>
      <c r="N14" s="108">
        <f>SUMIF(Erfassung2!BD:BD,L14,Erfassung2!BG:BG)</f>
        <v>0</v>
      </c>
      <c r="O14" s="108">
        <f t="shared" si="0"/>
        <v>0</v>
      </c>
      <c r="P14" s="108">
        <f t="shared" si="1"/>
        <v>87</v>
      </c>
    </row>
    <row r="15" spans="1:16" x14ac:dyDescent="0.25">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110.99999997099999</v>
      </c>
      <c r="L15" s="108">
        <f>INDEX(Starter!A:A,ROW()-1)</f>
        <v>38607</v>
      </c>
      <c r="M15" s="108">
        <f>SUMIF(Erfassung2!BD:BD,L15,Erfassung2!BE:BE)</f>
        <v>0</v>
      </c>
      <c r="N15" s="108">
        <f>SUMIF(Erfassung2!BD:BD,L15,Erfassung2!BG:BG)</f>
        <v>0</v>
      </c>
      <c r="O15" s="108">
        <f t="shared" si="0"/>
        <v>0</v>
      </c>
      <c r="P15" s="108">
        <f t="shared" si="1"/>
        <v>87</v>
      </c>
    </row>
    <row r="16" spans="1:16" x14ac:dyDescent="0.25">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110.99999997</v>
      </c>
      <c r="L16" s="108">
        <f>INDEX(Starter!A:A,ROW()-1)</f>
        <v>25347</v>
      </c>
      <c r="M16" s="108">
        <f>SUMIF(Erfassung2!BD:BD,L16,Erfassung2!BE:BE)</f>
        <v>0</v>
      </c>
      <c r="N16" s="108">
        <f>SUMIF(Erfassung2!BD:BD,L16,Erfassung2!BG:BG)</f>
        <v>0</v>
      </c>
      <c r="O16" s="108">
        <f t="shared" si="0"/>
        <v>0</v>
      </c>
      <c r="P16" s="108">
        <f t="shared" si="1"/>
        <v>87</v>
      </c>
    </row>
    <row r="17" spans="1:16" x14ac:dyDescent="0.25">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110.999999969</v>
      </c>
      <c r="L17" s="108">
        <f>INDEX(Starter!A:A,ROW()-1)</f>
        <v>38798</v>
      </c>
      <c r="M17" s="108">
        <f>SUMIF(Erfassung2!BD:BD,L17,Erfassung2!BE:BE)</f>
        <v>0</v>
      </c>
      <c r="N17" s="108">
        <f>SUMIF(Erfassung2!BD:BD,L17,Erfassung2!BG:BG)</f>
        <v>0</v>
      </c>
      <c r="O17" s="108">
        <f t="shared" si="0"/>
        <v>0</v>
      </c>
      <c r="P17" s="108">
        <f t="shared" si="1"/>
        <v>87</v>
      </c>
    </row>
    <row r="18" spans="1:16" x14ac:dyDescent="0.25">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110.999999968</v>
      </c>
      <c r="L18" s="108">
        <f>INDEX(Starter!A:A,ROW()-1)</f>
        <v>38210</v>
      </c>
      <c r="M18" s="108">
        <f>SUMIF(Erfassung2!BD:BD,L18,Erfassung2!BE:BE)</f>
        <v>0</v>
      </c>
      <c r="N18" s="108">
        <f>SUMIF(Erfassung2!BD:BD,L18,Erfassung2!BG:BG)</f>
        <v>0</v>
      </c>
      <c r="O18" s="108">
        <f t="shared" si="0"/>
        <v>0</v>
      </c>
      <c r="P18" s="108">
        <f t="shared" si="1"/>
        <v>87</v>
      </c>
    </row>
    <row r="19" spans="1:16" x14ac:dyDescent="0.25">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110.99999996699999</v>
      </c>
      <c r="L19" s="108">
        <f>INDEX(Starter!A:A,ROW()-1)</f>
        <v>0</v>
      </c>
      <c r="M19" s="108">
        <f>SUMIF(Erfassung2!BD:BD,L19,Erfassung2!BE:BE)</f>
        <v>222</v>
      </c>
      <c r="N19" s="108">
        <f>SUMIF(Erfassung2!BD:BD,L19,Erfassung2!BG:BG)</f>
        <v>2</v>
      </c>
      <c r="O19" s="108">
        <f t="shared" si="0"/>
        <v>110.999999981</v>
      </c>
      <c r="P19" s="108">
        <f t="shared" si="1"/>
        <v>1</v>
      </c>
    </row>
    <row r="20" spans="1:16" x14ac:dyDescent="0.25">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110.999999966</v>
      </c>
      <c r="L20" s="108">
        <f>INDEX(Starter!A:A,ROW()-1)</f>
        <v>0</v>
      </c>
      <c r="M20" s="108">
        <f>SUMIF(Erfassung2!BD:BD,L20,Erfassung2!BE:BE)</f>
        <v>222</v>
      </c>
      <c r="N20" s="108">
        <f>SUMIF(Erfassung2!BD:BD,L20,Erfassung2!BG:BG)</f>
        <v>2</v>
      </c>
      <c r="O20" s="108">
        <f t="shared" si="0"/>
        <v>110.99999998</v>
      </c>
      <c r="P20" s="108">
        <f t="shared" si="1"/>
        <v>2</v>
      </c>
    </row>
    <row r="21" spans="1:16" x14ac:dyDescent="0.25">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110.999999965</v>
      </c>
      <c r="L21" s="108">
        <f>INDEX(Starter!A:A,ROW()-1)</f>
        <v>0</v>
      </c>
      <c r="M21" s="108">
        <f>SUMIF(Erfassung2!BD:BD,L21,Erfassung2!BE:BE)</f>
        <v>222</v>
      </c>
      <c r="N21" s="108">
        <f>SUMIF(Erfassung2!BD:BD,L21,Erfassung2!BG:BG)</f>
        <v>2</v>
      </c>
      <c r="O21" s="108">
        <f t="shared" si="0"/>
        <v>110.99999997899999</v>
      </c>
      <c r="P21" s="108">
        <f t="shared" si="1"/>
        <v>3</v>
      </c>
    </row>
    <row r="22" spans="1:16" x14ac:dyDescent="0.25">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110.999999964</v>
      </c>
      <c r="L22" s="108">
        <f>INDEX(Starter!A:A,ROW()-1)</f>
        <v>0</v>
      </c>
      <c r="M22" s="108">
        <f>SUMIF(Erfassung2!BD:BD,L22,Erfassung2!BE:BE)</f>
        <v>222</v>
      </c>
      <c r="N22" s="108">
        <f>SUMIF(Erfassung2!BD:BD,L22,Erfassung2!BG:BG)</f>
        <v>2</v>
      </c>
      <c r="O22" s="108">
        <f t="shared" si="0"/>
        <v>110.99999997800001</v>
      </c>
      <c r="P22" s="108">
        <f t="shared" si="1"/>
        <v>4</v>
      </c>
    </row>
    <row r="23" spans="1:16" x14ac:dyDescent="0.25">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110.99999996299999</v>
      </c>
      <c r="L23" s="108">
        <f>INDEX(Starter!A:A,ROW()-1)</f>
        <v>0</v>
      </c>
      <c r="M23" s="108">
        <f>SUMIF(Erfassung2!BD:BD,L23,Erfassung2!BE:BE)</f>
        <v>222</v>
      </c>
      <c r="N23" s="108">
        <f>SUMIF(Erfassung2!BD:BD,L23,Erfassung2!BG:BG)</f>
        <v>2</v>
      </c>
      <c r="O23" s="108">
        <f t="shared" si="0"/>
        <v>110.999999977</v>
      </c>
      <c r="P23" s="108">
        <f t="shared" si="1"/>
        <v>5</v>
      </c>
    </row>
    <row r="24" spans="1:16" x14ac:dyDescent="0.25">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110.999999962</v>
      </c>
      <c r="L24" s="108">
        <f>INDEX(Starter!A:A,ROW()-1)</f>
        <v>0</v>
      </c>
      <c r="M24" s="108">
        <f>SUMIF(Erfassung2!BD:BD,L24,Erfassung2!BE:BE)</f>
        <v>222</v>
      </c>
      <c r="N24" s="108">
        <f>SUMIF(Erfassung2!BD:BD,L24,Erfassung2!BG:BG)</f>
        <v>2</v>
      </c>
      <c r="O24" s="108">
        <f t="shared" si="0"/>
        <v>110.999999976</v>
      </c>
      <c r="P24" s="108">
        <f t="shared" si="1"/>
        <v>6</v>
      </c>
    </row>
    <row r="25" spans="1:16" x14ac:dyDescent="0.25">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110.999999961</v>
      </c>
      <c r="L25" s="108">
        <f>INDEX(Starter!A:A,ROW()-1)</f>
        <v>0</v>
      </c>
      <c r="M25" s="108">
        <f>SUMIF(Erfassung2!BD:BD,L25,Erfassung2!BE:BE)</f>
        <v>222</v>
      </c>
      <c r="N25" s="108">
        <f>SUMIF(Erfassung2!BD:BD,L25,Erfassung2!BG:BG)</f>
        <v>2</v>
      </c>
      <c r="O25" s="108">
        <f t="shared" si="0"/>
        <v>110.99999997499999</v>
      </c>
      <c r="P25" s="108">
        <f t="shared" si="1"/>
        <v>7</v>
      </c>
    </row>
    <row r="26" spans="1:16" x14ac:dyDescent="0.25">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110.99999996</v>
      </c>
      <c r="L26" s="108">
        <f>INDEX(Starter!A:A,ROW()-1)</f>
        <v>0</v>
      </c>
      <c r="M26" s="108">
        <f>SUMIF(Erfassung2!BD:BD,L26,Erfassung2!BE:BE)</f>
        <v>222</v>
      </c>
      <c r="N26" s="108">
        <f>SUMIF(Erfassung2!BD:BD,L26,Erfassung2!BG:BG)</f>
        <v>2</v>
      </c>
      <c r="O26" s="108">
        <f t="shared" si="0"/>
        <v>110.999999974</v>
      </c>
      <c r="P26" s="108">
        <f t="shared" si="1"/>
        <v>8</v>
      </c>
    </row>
    <row r="27" spans="1:16" x14ac:dyDescent="0.25">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110.99999995899999</v>
      </c>
      <c r="L27" s="108">
        <f>INDEX(Starter!A:A,ROW()-1)</f>
        <v>0</v>
      </c>
      <c r="M27" s="108">
        <f>SUMIF(Erfassung2!BD:BD,L27,Erfassung2!BE:BE)</f>
        <v>222</v>
      </c>
      <c r="N27" s="108">
        <f>SUMIF(Erfassung2!BD:BD,L27,Erfassung2!BG:BG)</f>
        <v>2</v>
      </c>
      <c r="O27" s="108">
        <f t="shared" si="0"/>
        <v>110.999999973</v>
      </c>
      <c r="P27" s="108">
        <f t="shared" si="1"/>
        <v>9</v>
      </c>
    </row>
    <row r="28" spans="1:16" x14ac:dyDescent="0.25">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110.999999958</v>
      </c>
      <c r="L28" s="108">
        <f>INDEX(Starter!A:A,ROW()-1)</f>
        <v>0</v>
      </c>
      <c r="M28" s="108">
        <f>SUMIF(Erfassung2!BD:BD,L28,Erfassung2!BE:BE)</f>
        <v>222</v>
      </c>
      <c r="N28" s="108">
        <f>SUMIF(Erfassung2!BD:BD,L28,Erfassung2!BG:BG)</f>
        <v>2</v>
      </c>
      <c r="O28" s="108">
        <f t="shared" si="0"/>
        <v>110.999999972</v>
      </c>
      <c r="P28" s="108">
        <f t="shared" si="1"/>
        <v>10</v>
      </c>
    </row>
    <row r="29" spans="1:16" x14ac:dyDescent="0.25">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110.999999957</v>
      </c>
      <c r="L29" s="108">
        <f>INDEX(Starter!A:A,ROW()-1)</f>
        <v>0</v>
      </c>
      <c r="M29" s="108">
        <f>SUMIF(Erfassung2!BD:BD,L29,Erfassung2!BE:BE)</f>
        <v>222</v>
      </c>
      <c r="N29" s="108">
        <f>SUMIF(Erfassung2!BD:BD,L29,Erfassung2!BG:BG)</f>
        <v>2</v>
      </c>
      <c r="O29" s="108">
        <f t="shared" si="0"/>
        <v>110.99999997099999</v>
      </c>
      <c r="P29" s="108">
        <f t="shared" si="1"/>
        <v>11</v>
      </c>
    </row>
    <row r="30" spans="1:16" x14ac:dyDescent="0.25">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110.999999956</v>
      </c>
      <c r="L30" s="108">
        <f>INDEX(Starter!A:A,ROW()-1)</f>
        <v>0</v>
      </c>
      <c r="M30" s="108">
        <f>SUMIF(Erfassung2!BD:BD,L30,Erfassung2!BE:BE)</f>
        <v>222</v>
      </c>
      <c r="N30" s="108">
        <f>SUMIF(Erfassung2!BD:BD,L30,Erfassung2!BG:BG)</f>
        <v>2</v>
      </c>
      <c r="O30" s="108">
        <f t="shared" si="0"/>
        <v>110.99999997</v>
      </c>
      <c r="P30" s="108">
        <f t="shared" si="1"/>
        <v>12</v>
      </c>
    </row>
    <row r="31" spans="1:16" x14ac:dyDescent="0.25">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110.99999995500001</v>
      </c>
      <c r="L31" s="108">
        <f>INDEX(Starter!A:A,ROW()-1)</f>
        <v>0</v>
      </c>
      <c r="M31" s="108">
        <f>SUMIF(Erfassung2!BD:BD,L31,Erfassung2!BE:BE)</f>
        <v>222</v>
      </c>
      <c r="N31" s="108">
        <f>SUMIF(Erfassung2!BD:BD,L31,Erfassung2!BG:BG)</f>
        <v>2</v>
      </c>
      <c r="O31" s="108">
        <f t="shared" si="0"/>
        <v>110.999999969</v>
      </c>
      <c r="P31" s="108">
        <f t="shared" si="1"/>
        <v>13</v>
      </c>
    </row>
    <row r="32" spans="1:16" x14ac:dyDescent="0.25">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110.999999954</v>
      </c>
      <c r="L32" s="108">
        <f>INDEX(Starter!A:A,ROW()-1)</f>
        <v>0</v>
      </c>
      <c r="M32" s="108">
        <f>SUMIF(Erfassung2!BD:BD,L32,Erfassung2!BE:BE)</f>
        <v>222</v>
      </c>
      <c r="N32" s="108">
        <f>SUMIF(Erfassung2!BD:BD,L32,Erfassung2!BG:BG)</f>
        <v>2</v>
      </c>
      <c r="O32" s="108">
        <f t="shared" si="0"/>
        <v>110.999999968</v>
      </c>
      <c r="P32" s="108">
        <f t="shared" si="1"/>
        <v>14</v>
      </c>
    </row>
    <row r="33" spans="1:16" x14ac:dyDescent="0.25">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110.999999953</v>
      </c>
      <c r="L33" s="108">
        <f>INDEX(Starter!A:A,ROW()-1)</f>
        <v>0</v>
      </c>
      <c r="M33" s="108">
        <f>SUMIF(Erfassung2!BD:BD,L33,Erfassung2!BE:BE)</f>
        <v>222</v>
      </c>
      <c r="N33" s="108">
        <f>SUMIF(Erfassung2!BD:BD,L33,Erfassung2!BG:BG)</f>
        <v>2</v>
      </c>
      <c r="O33" s="108">
        <f t="shared" si="0"/>
        <v>110.99999996699999</v>
      </c>
      <c r="P33" s="108">
        <f t="shared" si="1"/>
        <v>15</v>
      </c>
    </row>
    <row r="34" spans="1:16" x14ac:dyDescent="0.25">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110.999999952</v>
      </c>
      <c r="L34" s="108">
        <f>INDEX(Starter!A:A,ROW()-1)</f>
        <v>0</v>
      </c>
      <c r="M34" s="108">
        <f>SUMIF(Erfassung2!BD:BD,L34,Erfassung2!BE:BE)</f>
        <v>222</v>
      </c>
      <c r="N34" s="108">
        <f>SUMIF(Erfassung2!BD:BD,L34,Erfassung2!BG:BG)</f>
        <v>2</v>
      </c>
      <c r="O34" s="108">
        <f t="shared" si="0"/>
        <v>110.999999966</v>
      </c>
      <c r="P34" s="108">
        <f t="shared" si="1"/>
        <v>16</v>
      </c>
    </row>
    <row r="35" spans="1:16" x14ac:dyDescent="0.25">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110.99999995100001</v>
      </c>
      <c r="L35" s="108">
        <f>INDEX(Starter!A:A,ROW()-1)</f>
        <v>0</v>
      </c>
      <c r="M35" s="108">
        <f>SUMIF(Erfassung2!BD:BD,L35,Erfassung2!BE:BE)</f>
        <v>222</v>
      </c>
      <c r="N35" s="108">
        <f>SUMIF(Erfassung2!BD:BD,L35,Erfassung2!BG:BG)</f>
        <v>2</v>
      </c>
      <c r="O35" s="108">
        <f t="shared" si="0"/>
        <v>110.999999965</v>
      </c>
      <c r="P35" s="108">
        <f t="shared" si="1"/>
        <v>17</v>
      </c>
    </row>
    <row r="36" spans="1:16" x14ac:dyDescent="0.25">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110.99999995</v>
      </c>
      <c r="L36" s="108">
        <f>INDEX(Starter!A:A,ROW()-1)</f>
        <v>0</v>
      </c>
      <c r="M36" s="108">
        <f>SUMIF(Erfassung2!BD:BD,L36,Erfassung2!BE:BE)</f>
        <v>222</v>
      </c>
      <c r="N36" s="108">
        <f>SUMIF(Erfassung2!BD:BD,L36,Erfassung2!BG:BG)</f>
        <v>2</v>
      </c>
      <c r="O36" s="108">
        <f t="shared" si="0"/>
        <v>110.999999964</v>
      </c>
      <c r="P36" s="108">
        <f t="shared" si="1"/>
        <v>18</v>
      </c>
    </row>
    <row r="37" spans="1:16" x14ac:dyDescent="0.25">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110.999999949</v>
      </c>
      <c r="L37" s="108">
        <f>INDEX(Starter!A:A,ROW()-1)</f>
        <v>0</v>
      </c>
      <c r="M37" s="108">
        <f>SUMIF(Erfassung2!BD:BD,L37,Erfassung2!BE:BE)</f>
        <v>222</v>
      </c>
      <c r="N37" s="108">
        <f>SUMIF(Erfassung2!BD:BD,L37,Erfassung2!BG:BG)</f>
        <v>2</v>
      </c>
      <c r="O37" s="108">
        <f t="shared" si="0"/>
        <v>110.99999996299999</v>
      </c>
      <c r="P37" s="108">
        <f t="shared" si="1"/>
        <v>19</v>
      </c>
    </row>
    <row r="38" spans="1:16" x14ac:dyDescent="0.25">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110.999999948</v>
      </c>
      <c r="L38" s="108">
        <f>INDEX(Starter!A:A,ROW()-1)</f>
        <v>0</v>
      </c>
      <c r="M38" s="108">
        <f>SUMIF(Erfassung2!BD:BD,L38,Erfassung2!BE:BE)</f>
        <v>222</v>
      </c>
      <c r="N38" s="108">
        <f>SUMIF(Erfassung2!BD:BD,L38,Erfassung2!BG:BG)</f>
        <v>2</v>
      </c>
      <c r="O38" s="108">
        <f t="shared" si="0"/>
        <v>110.999999962</v>
      </c>
      <c r="P38" s="108">
        <f t="shared" si="1"/>
        <v>20</v>
      </c>
    </row>
    <row r="39" spans="1:16" x14ac:dyDescent="0.25">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110.99999994700001</v>
      </c>
      <c r="L39" s="108">
        <f>INDEX(Starter!A:A,ROW()-1)</f>
        <v>0</v>
      </c>
      <c r="M39" s="108">
        <f>SUMIF(Erfassung2!BD:BD,L39,Erfassung2!BE:BE)</f>
        <v>222</v>
      </c>
      <c r="N39" s="108">
        <f>SUMIF(Erfassung2!BD:BD,L39,Erfassung2!BG:BG)</f>
        <v>2</v>
      </c>
      <c r="O39" s="108">
        <f t="shared" si="0"/>
        <v>110.999999961</v>
      </c>
      <c r="P39" s="108">
        <f t="shared" si="1"/>
        <v>21</v>
      </c>
    </row>
    <row r="40" spans="1:16" x14ac:dyDescent="0.25">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110.999999946</v>
      </c>
      <c r="L40" s="108">
        <f>INDEX(Starter!A:A,ROW()-1)</f>
        <v>0</v>
      </c>
      <c r="M40" s="108">
        <f>SUMIF(Erfassung2!BD:BD,L40,Erfassung2!BE:BE)</f>
        <v>222</v>
      </c>
      <c r="N40" s="108">
        <f>SUMIF(Erfassung2!BD:BD,L40,Erfassung2!BG:BG)</f>
        <v>2</v>
      </c>
      <c r="O40" s="108">
        <f t="shared" si="0"/>
        <v>110.99999996</v>
      </c>
      <c r="P40" s="108">
        <f t="shared" si="1"/>
        <v>22</v>
      </c>
    </row>
    <row r="41" spans="1:16" x14ac:dyDescent="0.25">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110.999999945</v>
      </c>
      <c r="L41" s="108">
        <f>INDEX(Starter!A:A,ROW()-1)</f>
        <v>0</v>
      </c>
      <c r="M41" s="108">
        <f>SUMIF(Erfassung2!BD:BD,L41,Erfassung2!BE:BE)</f>
        <v>222</v>
      </c>
      <c r="N41" s="108">
        <f>SUMIF(Erfassung2!BD:BD,L41,Erfassung2!BG:BG)</f>
        <v>2</v>
      </c>
      <c r="O41" s="108">
        <f t="shared" si="0"/>
        <v>110.99999995899999</v>
      </c>
      <c r="P41" s="108">
        <f t="shared" si="1"/>
        <v>23</v>
      </c>
    </row>
    <row r="42" spans="1:16" x14ac:dyDescent="0.25">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110.999999944</v>
      </c>
      <c r="L42" s="108">
        <f>INDEX(Starter!A:A,ROW()-1)</f>
        <v>0</v>
      </c>
      <c r="M42" s="108">
        <f>SUMIF(Erfassung2!BD:BD,L42,Erfassung2!BE:BE)</f>
        <v>222</v>
      </c>
      <c r="N42" s="108">
        <f>SUMIF(Erfassung2!BD:BD,L42,Erfassung2!BG:BG)</f>
        <v>2</v>
      </c>
      <c r="O42" s="108">
        <f t="shared" si="0"/>
        <v>110.999999958</v>
      </c>
      <c r="P42" s="108">
        <f t="shared" si="1"/>
        <v>24</v>
      </c>
    </row>
    <row r="43" spans="1:16" x14ac:dyDescent="0.25">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110.99999994300001</v>
      </c>
      <c r="L43" s="108">
        <f>INDEX(Starter!A:A,ROW()-1)</f>
        <v>0</v>
      </c>
      <c r="M43" s="108">
        <f>SUMIF(Erfassung2!BD:BD,L43,Erfassung2!BE:BE)</f>
        <v>222</v>
      </c>
      <c r="N43" s="108">
        <f>SUMIF(Erfassung2!BD:BD,L43,Erfassung2!BG:BG)</f>
        <v>2</v>
      </c>
      <c r="O43" s="108">
        <f t="shared" si="0"/>
        <v>110.999999957</v>
      </c>
      <c r="P43" s="108">
        <f t="shared" si="1"/>
        <v>25</v>
      </c>
    </row>
    <row r="44" spans="1:16" x14ac:dyDescent="0.25">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110.999999942</v>
      </c>
      <c r="L44" s="108">
        <f>INDEX(Starter!A:A,ROW()-1)</f>
        <v>0</v>
      </c>
      <c r="M44" s="108">
        <f>SUMIF(Erfassung2!BD:BD,L44,Erfassung2!BE:BE)</f>
        <v>222</v>
      </c>
      <c r="N44" s="108">
        <f>SUMIF(Erfassung2!BD:BD,L44,Erfassung2!BG:BG)</f>
        <v>2</v>
      </c>
      <c r="O44" s="108">
        <f t="shared" si="0"/>
        <v>110.999999956</v>
      </c>
      <c r="P44" s="108">
        <f t="shared" si="1"/>
        <v>26</v>
      </c>
    </row>
    <row r="45" spans="1:16" x14ac:dyDescent="0.25">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110.999999941</v>
      </c>
      <c r="L45" s="108">
        <f>INDEX(Starter!A:A,ROW()-1)</f>
        <v>0</v>
      </c>
      <c r="M45" s="108">
        <f>SUMIF(Erfassung2!BD:BD,L45,Erfassung2!BE:BE)</f>
        <v>222</v>
      </c>
      <c r="N45" s="108">
        <f>SUMIF(Erfassung2!BD:BD,L45,Erfassung2!BG:BG)</f>
        <v>2</v>
      </c>
      <c r="O45" s="108">
        <f t="shared" si="0"/>
        <v>110.99999995500001</v>
      </c>
      <c r="P45" s="108">
        <f t="shared" si="1"/>
        <v>27</v>
      </c>
    </row>
    <row r="46" spans="1:16" x14ac:dyDescent="0.25">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110.99999994</v>
      </c>
      <c r="L46" s="108">
        <f>INDEX(Starter!A:A,ROW()-1)</f>
        <v>0</v>
      </c>
      <c r="M46" s="108">
        <f>SUMIF(Erfassung2!BD:BD,L46,Erfassung2!BE:BE)</f>
        <v>222</v>
      </c>
      <c r="N46" s="108">
        <f>SUMIF(Erfassung2!BD:BD,L46,Erfassung2!BG:BG)</f>
        <v>2</v>
      </c>
      <c r="O46" s="108">
        <f t="shared" si="0"/>
        <v>110.999999954</v>
      </c>
      <c r="P46" s="108">
        <f t="shared" si="1"/>
        <v>28</v>
      </c>
    </row>
    <row r="47" spans="1:16" x14ac:dyDescent="0.25">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110.99999993900001</v>
      </c>
      <c r="L47" s="108">
        <f>INDEX(Starter!A:A,ROW()-1)</f>
        <v>0</v>
      </c>
      <c r="M47" s="108">
        <f>SUMIF(Erfassung2!BD:BD,L47,Erfassung2!BE:BE)</f>
        <v>222</v>
      </c>
      <c r="N47" s="108">
        <f>SUMIF(Erfassung2!BD:BD,L47,Erfassung2!BG:BG)</f>
        <v>2</v>
      </c>
      <c r="O47" s="108">
        <f t="shared" si="0"/>
        <v>110.999999953</v>
      </c>
      <c r="P47" s="108">
        <f t="shared" si="1"/>
        <v>29</v>
      </c>
    </row>
    <row r="48" spans="1:16" x14ac:dyDescent="0.25">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110.999999938</v>
      </c>
      <c r="L48" s="108">
        <f>INDEX(Starter!A:A,ROW()-1)</f>
        <v>0</v>
      </c>
      <c r="M48" s="108">
        <f>SUMIF(Erfassung2!BD:BD,L48,Erfassung2!BE:BE)</f>
        <v>222</v>
      </c>
      <c r="N48" s="108">
        <f>SUMIF(Erfassung2!BD:BD,L48,Erfassung2!BG:BG)</f>
        <v>2</v>
      </c>
      <c r="O48" s="108">
        <f t="shared" si="0"/>
        <v>110.999999952</v>
      </c>
      <c r="P48" s="108">
        <f t="shared" si="1"/>
        <v>30</v>
      </c>
    </row>
    <row r="49" spans="1:16" x14ac:dyDescent="0.25">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110.999999937</v>
      </c>
      <c r="L49" s="108">
        <f>INDEX(Starter!A:A,ROW()-1)</f>
        <v>0</v>
      </c>
      <c r="M49" s="108">
        <f>SUMIF(Erfassung2!BD:BD,L49,Erfassung2!BE:BE)</f>
        <v>222</v>
      </c>
      <c r="N49" s="108">
        <f>SUMIF(Erfassung2!BD:BD,L49,Erfassung2!BG:BG)</f>
        <v>2</v>
      </c>
      <c r="O49" s="108">
        <f t="shared" si="0"/>
        <v>110.99999995100001</v>
      </c>
      <c r="P49" s="108">
        <f t="shared" si="1"/>
        <v>31</v>
      </c>
    </row>
    <row r="50" spans="1:16" x14ac:dyDescent="0.25">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110.99999993599999</v>
      </c>
      <c r="L50" s="108">
        <f>INDEX(Starter!A:A,ROW()-1)</f>
        <v>0</v>
      </c>
      <c r="M50" s="108">
        <f>SUMIF(Erfassung2!BD:BD,L50,Erfassung2!BE:BE)</f>
        <v>222</v>
      </c>
      <c r="N50" s="108">
        <f>SUMIF(Erfassung2!BD:BD,L50,Erfassung2!BG:BG)</f>
        <v>2</v>
      </c>
      <c r="O50" s="108">
        <f t="shared" si="0"/>
        <v>110.99999995</v>
      </c>
      <c r="P50" s="108">
        <f t="shared" si="1"/>
        <v>32</v>
      </c>
    </row>
    <row r="51" spans="1:16" x14ac:dyDescent="0.25">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110.99999993500001</v>
      </c>
      <c r="L51" s="108">
        <f>INDEX(Starter!A:A,ROW()-1)</f>
        <v>0</v>
      </c>
      <c r="M51" s="108">
        <f>SUMIF(Erfassung2!BD:BD,L51,Erfassung2!BE:BE)</f>
        <v>222</v>
      </c>
      <c r="N51" s="108">
        <f>SUMIF(Erfassung2!BD:BD,L51,Erfassung2!BG:BG)</f>
        <v>2</v>
      </c>
      <c r="O51" s="108">
        <f t="shared" si="0"/>
        <v>110.999999949</v>
      </c>
      <c r="P51" s="108">
        <f t="shared" si="1"/>
        <v>33</v>
      </c>
    </row>
    <row r="52" spans="1:16" x14ac:dyDescent="0.25">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110.999999934</v>
      </c>
      <c r="L52" s="108">
        <f>INDEX(Starter!A:A,ROW()-1)</f>
        <v>0</v>
      </c>
      <c r="M52" s="108">
        <f>SUMIF(Erfassung2!BD:BD,L52,Erfassung2!BE:BE)</f>
        <v>222</v>
      </c>
      <c r="N52" s="108">
        <f>SUMIF(Erfassung2!BD:BD,L52,Erfassung2!BG:BG)</f>
        <v>2</v>
      </c>
      <c r="O52" s="108">
        <f t="shared" si="0"/>
        <v>110.999999948</v>
      </c>
      <c r="P52" s="108">
        <f t="shared" si="1"/>
        <v>34</v>
      </c>
    </row>
    <row r="53" spans="1:16" x14ac:dyDescent="0.25">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110.999999933</v>
      </c>
      <c r="L53" s="108">
        <f>INDEX(Starter!A:A,ROW()-1)</f>
        <v>0</v>
      </c>
      <c r="M53" s="108">
        <f>SUMIF(Erfassung2!BD:BD,L53,Erfassung2!BE:BE)</f>
        <v>222</v>
      </c>
      <c r="N53" s="108">
        <f>SUMIF(Erfassung2!BD:BD,L53,Erfassung2!BG:BG)</f>
        <v>2</v>
      </c>
      <c r="O53" s="108">
        <f t="shared" si="0"/>
        <v>110.99999994700001</v>
      </c>
      <c r="P53" s="108">
        <f t="shared" si="1"/>
        <v>35</v>
      </c>
    </row>
    <row r="54" spans="1:16" x14ac:dyDescent="0.25">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110.99999993199999</v>
      </c>
      <c r="L54" s="108">
        <f>INDEX(Starter!A:A,ROW()-1)</f>
        <v>0</v>
      </c>
      <c r="M54" s="108">
        <f>SUMIF(Erfassung2!BD:BD,L54,Erfassung2!BE:BE)</f>
        <v>222</v>
      </c>
      <c r="N54" s="108">
        <f>SUMIF(Erfassung2!BD:BD,L54,Erfassung2!BG:BG)</f>
        <v>2</v>
      </c>
      <c r="O54" s="108">
        <f t="shared" si="0"/>
        <v>110.999999946</v>
      </c>
      <c r="P54" s="108">
        <f t="shared" si="1"/>
        <v>36</v>
      </c>
    </row>
    <row r="55" spans="1:16" x14ac:dyDescent="0.25">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110.999999931</v>
      </c>
      <c r="L55" s="108">
        <f>INDEX(Starter!A:A,ROW()-1)</f>
        <v>0</v>
      </c>
      <c r="M55" s="108">
        <f>SUMIF(Erfassung2!BD:BD,L55,Erfassung2!BE:BE)</f>
        <v>222</v>
      </c>
      <c r="N55" s="108">
        <f>SUMIF(Erfassung2!BD:BD,L55,Erfassung2!BG:BG)</f>
        <v>2</v>
      </c>
      <c r="O55" s="108">
        <f t="shared" si="0"/>
        <v>110.999999945</v>
      </c>
      <c r="P55" s="108">
        <f t="shared" si="1"/>
        <v>37</v>
      </c>
    </row>
    <row r="56" spans="1:16" x14ac:dyDescent="0.25">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110.99999993</v>
      </c>
      <c r="L56" s="108">
        <f>INDEX(Starter!A:A,ROW()-1)</f>
        <v>0</v>
      </c>
      <c r="M56" s="108">
        <f>SUMIF(Erfassung2!BD:BD,L56,Erfassung2!BE:BE)</f>
        <v>222</v>
      </c>
      <c r="N56" s="108">
        <f>SUMIF(Erfassung2!BD:BD,L56,Erfassung2!BG:BG)</f>
        <v>2</v>
      </c>
      <c r="O56" s="108">
        <f t="shared" si="0"/>
        <v>110.999999944</v>
      </c>
      <c r="P56" s="108">
        <f t="shared" si="1"/>
        <v>38</v>
      </c>
    </row>
    <row r="57" spans="1:16" x14ac:dyDescent="0.25">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110.999999929</v>
      </c>
      <c r="L57" s="108">
        <f>INDEX(Starter!A:A,ROW()-1)</f>
        <v>0</v>
      </c>
      <c r="M57" s="108">
        <f>SUMIF(Erfassung2!BD:BD,L57,Erfassung2!BE:BE)</f>
        <v>222</v>
      </c>
      <c r="N57" s="108">
        <f>SUMIF(Erfassung2!BD:BD,L57,Erfassung2!BG:BG)</f>
        <v>2</v>
      </c>
      <c r="O57" s="108">
        <f t="shared" si="0"/>
        <v>110.99999994300001</v>
      </c>
      <c r="P57" s="108">
        <f t="shared" si="1"/>
        <v>39</v>
      </c>
    </row>
    <row r="58" spans="1:16" x14ac:dyDescent="0.25">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110.99999992799999</v>
      </c>
      <c r="L58" s="108">
        <f>INDEX(Starter!A:A,ROW()-1)</f>
        <v>0</v>
      </c>
      <c r="M58" s="108">
        <f>SUMIF(Erfassung2!BD:BD,L58,Erfassung2!BE:BE)</f>
        <v>222</v>
      </c>
      <c r="N58" s="108">
        <f>SUMIF(Erfassung2!BD:BD,L58,Erfassung2!BG:BG)</f>
        <v>2</v>
      </c>
      <c r="O58" s="108">
        <f t="shared" si="0"/>
        <v>110.999999942</v>
      </c>
      <c r="P58" s="108">
        <f t="shared" si="1"/>
        <v>40</v>
      </c>
    </row>
    <row r="59" spans="1:16" x14ac:dyDescent="0.25">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110.999999927</v>
      </c>
      <c r="L59" s="108">
        <f>INDEX(Starter!A:A,ROW()-1)</f>
        <v>0</v>
      </c>
      <c r="M59" s="108">
        <f>SUMIF(Erfassung2!BD:BD,L59,Erfassung2!BE:BE)</f>
        <v>222</v>
      </c>
      <c r="N59" s="108">
        <f>SUMIF(Erfassung2!BD:BD,L59,Erfassung2!BG:BG)</f>
        <v>2</v>
      </c>
      <c r="O59" s="108">
        <f t="shared" si="0"/>
        <v>110.999999941</v>
      </c>
      <c r="P59" s="108">
        <f t="shared" si="1"/>
        <v>41</v>
      </c>
    </row>
    <row r="60" spans="1:16" x14ac:dyDescent="0.25">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110.999999926</v>
      </c>
      <c r="L60" s="108">
        <f>INDEX(Starter!A:A,ROW()-1)</f>
        <v>0</v>
      </c>
      <c r="M60" s="108">
        <f>SUMIF(Erfassung2!BD:BD,L60,Erfassung2!BE:BE)</f>
        <v>222</v>
      </c>
      <c r="N60" s="108">
        <f>SUMIF(Erfassung2!BD:BD,L60,Erfassung2!BG:BG)</f>
        <v>2</v>
      </c>
      <c r="O60" s="108">
        <f t="shared" si="0"/>
        <v>110.99999994</v>
      </c>
      <c r="P60" s="108">
        <f t="shared" si="1"/>
        <v>42</v>
      </c>
    </row>
    <row r="61" spans="1:16" x14ac:dyDescent="0.25">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110.999999925</v>
      </c>
      <c r="L61" s="108">
        <f>INDEX(Starter!A:A,ROW()-1)</f>
        <v>0</v>
      </c>
      <c r="M61" s="108">
        <f>SUMIF(Erfassung2!BD:BD,L61,Erfassung2!BE:BE)</f>
        <v>222</v>
      </c>
      <c r="N61" s="108">
        <f>SUMIF(Erfassung2!BD:BD,L61,Erfassung2!BG:BG)</f>
        <v>2</v>
      </c>
      <c r="O61" s="108">
        <f t="shared" si="0"/>
        <v>110.99999993900001</v>
      </c>
      <c r="P61" s="108">
        <f t="shared" si="1"/>
        <v>43</v>
      </c>
    </row>
    <row r="62" spans="1:16" x14ac:dyDescent="0.25">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110.99999992399999</v>
      </c>
      <c r="L62" s="108">
        <f>INDEX(Starter!A:A,ROW()-1)</f>
        <v>0</v>
      </c>
      <c r="M62" s="108">
        <f>SUMIF(Erfassung2!BD:BD,L62,Erfassung2!BE:BE)</f>
        <v>222</v>
      </c>
      <c r="N62" s="108">
        <f>SUMIF(Erfassung2!BD:BD,L62,Erfassung2!BG:BG)</f>
        <v>2</v>
      </c>
      <c r="O62" s="108">
        <f t="shared" si="0"/>
        <v>110.999999938</v>
      </c>
      <c r="P62" s="108">
        <f t="shared" si="1"/>
        <v>44</v>
      </c>
    </row>
    <row r="63" spans="1:16" x14ac:dyDescent="0.25">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110.999999923</v>
      </c>
      <c r="L63" s="108">
        <f>INDEX(Starter!A:A,ROW()-1)</f>
        <v>0</v>
      </c>
      <c r="M63" s="108">
        <f>SUMIF(Erfassung2!BD:BD,L63,Erfassung2!BE:BE)</f>
        <v>222</v>
      </c>
      <c r="N63" s="108">
        <f>SUMIF(Erfassung2!BD:BD,L63,Erfassung2!BG:BG)</f>
        <v>2</v>
      </c>
      <c r="O63" s="108">
        <f t="shared" si="0"/>
        <v>110.999999937</v>
      </c>
      <c r="P63" s="108">
        <f t="shared" si="1"/>
        <v>45</v>
      </c>
    </row>
    <row r="64" spans="1:16" x14ac:dyDescent="0.25">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110.999999922</v>
      </c>
      <c r="L64" s="108">
        <f>INDEX(Starter!A:A,ROW()-1)</f>
        <v>0</v>
      </c>
      <c r="M64" s="108">
        <f>SUMIF(Erfassung2!BD:BD,L64,Erfassung2!BE:BE)</f>
        <v>222</v>
      </c>
      <c r="N64" s="108">
        <f>SUMIF(Erfassung2!BD:BD,L64,Erfassung2!BG:BG)</f>
        <v>2</v>
      </c>
      <c r="O64" s="108">
        <f t="shared" si="0"/>
        <v>110.99999993599999</v>
      </c>
      <c r="P64" s="108">
        <f t="shared" si="1"/>
        <v>46</v>
      </c>
    </row>
    <row r="65" spans="1:16" x14ac:dyDescent="0.25">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110.999999921</v>
      </c>
      <c r="L65" s="108">
        <f>INDEX(Starter!A:A,ROW()-1)</f>
        <v>0</v>
      </c>
      <c r="M65" s="108">
        <f>SUMIF(Erfassung2!BD:BD,L65,Erfassung2!BE:BE)</f>
        <v>222</v>
      </c>
      <c r="N65" s="108">
        <f>SUMIF(Erfassung2!BD:BD,L65,Erfassung2!BG:BG)</f>
        <v>2</v>
      </c>
      <c r="O65" s="108">
        <f t="shared" si="0"/>
        <v>110.99999993500001</v>
      </c>
      <c r="P65" s="108">
        <f t="shared" si="1"/>
        <v>47</v>
      </c>
    </row>
    <row r="66" spans="1:16" x14ac:dyDescent="0.25">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110.99999991999999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48</v>
      </c>
    </row>
    <row r="67" spans="1:16" x14ac:dyDescent="0.25">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110.999999919</v>
      </c>
      <c r="L67" s="108">
        <f>INDEX(Starter!A:A,ROW()-1)</f>
        <v>0</v>
      </c>
      <c r="M67" s="108">
        <f>SUMIF(Erfassung2!BD:BD,L67,Erfassung2!BE:BE)</f>
        <v>222</v>
      </c>
      <c r="N67" s="108">
        <f>SUMIF(Erfassung2!BD:BD,L67,Erfassung2!BG:BG)</f>
        <v>2</v>
      </c>
      <c r="O67" s="108">
        <f t="shared" si="7"/>
        <v>110.999999933</v>
      </c>
      <c r="P67" s="108">
        <f t="shared" si="8"/>
        <v>49</v>
      </c>
    </row>
    <row r="68" spans="1:16" x14ac:dyDescent="0.25">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110.999999918</v>
      </c>
      <c r="L68" s="108">
        <f>INDEX(Starter!A:A,ROW()-1)</f>
        <v>0</v>
      </c>
      <c r="M68" s="108">
        <f>SUMIF(Erfassung2!BD:BD,L68,Erfassung2!BE:BE)</f>
        <v>222</v>
      </c>
      <c r="N68" s="108">
        <f>SUMIF(Erfassung2!BD:BD,L68,Erfassung2!BG:BG)</f>
        <v>2</v>
      </c>
      <c r="O68" s="108">
        <f t="shared" si="7"/>
        <v>110.99999993199999</v>
      </c>
      <c r="P68" s="108">
        <f t="shared" si="8"/>
        <v>50</v>
      </c>
    </row>
    <row r="69" spans="1:16" x14ac:dyDescent="0.25">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110.999999917</v>
      </c>
      <c r="L69" s="108">
        <f>INDEX(Starter!A:A,ROW()-1)</f>
        <v>0</v>
      </c>
      <c r="M69" s="108">
        <f>SUMIF(Erfassung2!BD:BD,L69,Erfassung2!BE:BE)</f>
        <v>222</v>
      </c>
      <c r="N69" s="108">
        <f>SUMIF(Erfassung2!BD:BD,L69,Erfassung2!BG:BG)</f>
        <v>2</v>
      </c>
      <c r="O69" s="108">
        <f t="shared" si="7"/>
        <v>110.999999931</v>
      </c>
      <c r="P69" s="108">
        <f t="shared" si="8"/>
        <v>51</v>
      </c>
    </row>
    <row r="70" spans="1:16" x14ac:dyDescent="0.25">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110.99999991599999</v>
      </c>
      <c r="L70" s="108">
        <f>INDEX(Starter!A:A,ROW()-1)</f>
        <v>0</v>
      </c>
      <c r="M70" s="108">
        <f>SUMIF(Erfassung2!BD:BD,L70,Erfassung2!BE:BE)</f>
        <v>222</v>
      </c>
      <c r="N70" s="108">
        <f>SUMIF(Erfassung2!BD:BD,L70,Erfassung2!BG:BG)</f>
        <v>2</v>
      </c>
      <c r="O70" s="108">
        <f t="shared" si="7"/>
        <v>110.99999993</v>
      </c>
      <c r="P70" s="108">
        <f t="shared" si="8"/>
        <v>52</v>
      </c>
    </row>
    <row r="71" spans="1:16" x14ac:dyDescent="0.25">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110.999999915</v>
      </c>
      <c r="L71" s="108">
        <f>INDEX(Starter!A:A,ROW()-1)</f>
        <v>0</v>
      </c>
      <c r="M71" s="108">
        <f>SUMIF(Erfassung2!BD:BD,L71,Erfassung2!BE:BE)</f>
        <v>222</v>
      </c>
      <c r="N71" s="108">
        <f>SUMIF(Erfassung2!BD:BD,L71,Erfassung2!BG:BG)</f>
        <v>2</v>
      </c>
      <c r="O71" s="108">
        <f t="shared" si="7"/>
        <v>110.999999929</v>
      </c>
      <c r="P71" s="108">
        <f t="shared" si="8"/>
        <v>53</v>
      </c>
    </row>
    <row r="72" spans="1:16" x14ac:dyDescent="0.25">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110.999999914</v>
      </c>
      <c r="L72" s="108">
        <f>INDEX(Starter!A:A,ROW()-1)</f>
        <v>0</v>
      </c>
      <c r="M72" s="108">
        <f>SUMIF(Erfassung2!BD:BD,L72,Erfassung2!BE:BE)</f>
        <v>222</v>
      </c>
      <c r="N72" s="108">
        <f>SUMIF(Erfassung2!BD:BD,L72,Erfassung2!BG:BG)</f>
        <v>2</v>
      </c>
      <c r="O72" s="108">
        <f t="shared" si="7"/>
        <v>110.99999992799999</v>
      </c>
      <c r="P72" s="108">
        <f t="shared" si="8"/>
        <v>54</v>
      </c>
    </row>
    <row r="73" spans="1:16" x14ac:dyDescent="0.25">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110.999999913</v>
      </c>
      <c r="L73" s="108">
        <f>INDEX(Starter!A:A,ROW()-1)</f>
        <v>0</v>
      </c>
      <c r="M73" s="108">
        <f>SUMIF(Erfassung2!BD:BD,L73,Erfassung2!BE:BE)</f>
        <v>222</v>
      </c>
      <c r="N73" s="108">
        <f>SUMIF(Erfassung2!BD:BD,L73,Erfassung2!BG:BG)</f>
        <v>2</v>
      </c>
      <c r="O73" s="108">
        <f t="shared" si="7"/>
        <v>110.999999927</v>
      </c>
      <c r="P73" s="108">
        <f t="shared" si="8"/>
        <v>55</v>
      </c>
    </row>
    <row r="74" spans="1:16" x14ac:dyDescent="0.25">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110.99999991200001</v>
      </c>
      <c r="L74" s="108">
        <f>INDEX(Starter!A:A,ROW()-1)</f>
        <v>0</v>
      </c>
      <c r="M74" s="108">
        <f>SUMIF(Erfassung2!BD:BD,L74,Erfassung2!BE:BE)</f>
        <v>222</v>
      </c>
      <c r="N74" s="108">
        <f>SUMIF(Erfassung2!BD:BD,L74,Erfassung2!BG:BG)</f>
        <v>2</v>
      </c>
      <c r="O74" s="108">
        <f t="shared" si="7"/>
        <v>110.999999926</v>
      </c>
      <c r="P74" s="108">
        <f t="shared" si="8"/>
        <v>56</v>
      </c>
    </row>
    <row r="75" spans="1:16" x14ac:dyDescent="0.25">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110.999999911</v>
      </c>
      <c r="L75" s="108">
        <f>INDEX(Starter!A:A,ROW()-1)</f>
        <v>0</v>
      </c>
      <c r="M75" s="108">
        <f>SUMIF(Erfassung2!BD:BD,L75,Erfassung2!BE:BE)</f>
        <v>222</v>
      </c>
      <c r="N75" s="108">
        <f>SUMIF(Erfassung2!BD:BD,L75,Erfassung2!BG:BG)</f>
        <v>2</v>
      </c>
      <c r="O75" s="108">
        <f t="shared" si="7"/>
        <v>110.999999925</v>
      </c>
      <c r="P75" s="108">
        <f t="shared" si="8"/>
        <v>57</v>
      </c>
    </row>
    <row r="76" spans="1:16" x14ac:dyDescent="0.25">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110.99999991</v>
      </c>
      <c r="L76" s="108">
        <f>INDEX(Starter!A:A,ROW()-1)</f>
        <v>0</v>
      </c>
      <c r="M76" s="108">
        <f>SUMIF(Erfassung2!BD:BD,L76,Erfassung2!BE:BE)</f>
        <v>222</v>
      </c>
      <c r="N76" s="108">
        <f>SUMIF(Erfassung2!BD:BD,L76,Erfassung2!BG:BG)</f>
        <v>2</v>
      </c>
      <c r="O76" s="108">
        <f t="shared" si="7"/>
        <v>110.99999992399999</v>
      </c>
      <c r="P76" s="108">
        <f t="shared" si="8"/>
        <v>58</v>
      </c>
    </row>
    <row r="77" spans="1:16" x14ac:dyDescent="0.25">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110.999999909</v>
      </c>
      <c r="L77" s="108">
        <f>INDEX(Starter!A:A,ROW()-1)</f>
        <v>0</v>
      </c>
      <c r="M77" s="108">
        <f>SUMIF(Erfassung2!BD:BD,L77,Erfassung2!BE:BE)</f>
        <v>222</v>
      </c>
      <c r="N77" s="108">
        <f>SUMIF(Erfassung2!BD:BD,L77,Erfassung2!BG:BG)</f>
        <v>2</v>
      </c>
      <c r="O77" s="108">
        <f t="shared" si="7"/>
        <v>110.999999923</v>
      </c>
      <c r="P77" s="108">
        <f t="shared" si="8"/>
        <v>59</v>
      </c>
    </row>
    <row r="78" spans="1:16" x14ac:dyDescent="0.25">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110.99999990800001</v>
      </c>
      <c r="L78" s="108">
        <f>INDEX(Starter!A:A,ROW()-1)</f>
        <v>0</v>
      </c>
      <c r="M78" s="108">
        <f>SUMIF(Erfassung2!BD:BD,L78,Erfassung2!BE:BE)</f>
        <v>222</v>
      </c>
      <c r="N78" s="108">
        <f>SUMIF(Erfassung2!BD:BD,L78,Erfassung2!BG:BG)</f>
        <v>2</v>
      </c>
      <c r="O78" s="108">
        <f t="shared" si="7"/>
        <v>110.999999922</v>
      </c>
      <c r="P78" s="108">
        <f t="shared" si="8"/>
        <v>60</v>
      </c>
    </row>
    <row r="79" spans="1:16" x14ac:dyDescent="0.25">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110.999999907</v>
      </c>
      <c r="L79" s="108">
        <f>INDEX(Starter!A:A,ROW()-1)</f>
        <v>0</v>
      </c>
      <c r="M79" s="108">
        <f>SUMIF(Erfassung2!BD:BD,L79,Erfassung2!BE:BE)</f>
        <v>222</v>
      </c>
      <c r="N79" s="108">
        <f>SUMIF(Erfassung2!BD:BD,L79,Erfassung2!BG:BG)</f>
        <v>2</v>
      </c>
      <c r="O79" s="108">
        <f t="shared" si="7"/>
        <v>110.999999921</v>
      </c>
      <c r="P79" s="108">
        <f t="shared" si="8"/>
        <v>61</v>
      </c>
    </row>
    <row r="80" spans="1:16" x14ac:dyDescent="0.25">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110.999999906</v>
      </c>
      <c r="L80" s="108">
        <f>INDEX(Starter!A:A,ROW()-1)</f>
        <v>0</v>
      </c>
      <c r="M80" s="108">
        <f>SUMIF(Erfassung2!BD:BD,L80,Erfassung2!BE:BE)</f>
        <v>222</v>
      </c>
      <c r="N80" s="108">
        <f>SUMIF(Erfassung2!BD:BD,L80,Erfassung2!BG:BG)</f>
        <v>2</v>
      </c>
      <c r="O80" s="108">
        <f t="shared" si="7"/>
        <v>110.99999991999999</v>
      </c>
      <c r="P80" s="108">
        <f t="shared" si="8"/>
        <v>62</v>
      </c>
    </row>
    <row r="81" spans="1:16" x14ac:dyDescent="0.25">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110.999999905</v>
      </c>
      <c r="L81" s="108">
        <f>INDEX(Starter!A:A,ROW()-1)</f>
        <v>0</v>
      </c>
      <c r="M81" s="108">
        <f>SUMIF(Erfassung2!BD:BD,L81,Erfassung2!BE:BE)</f>
        <v>222</v>
      </c>
      <c r="N81" s="108">
        <f>SUMIF(Erfassung2!BD:BD,L81,Erfassung2!BG:BG)</f>
        <v>2</v>
      </c>
      <c r="O81" s="108">
        <f t="shared" si="7"/>
        <v>110.999999919</v>
      </c>
      <c r="P81" s="108">
        <f t="shared" si="8"/>
        <v>63</v>
      </c>
    </row>
    <row r="82" spans="1:16" x14ac:dyDescent="0.25">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110.99999990400001</v>
      </c>
      <c r="L82" s="108">
        <f>INDEX(Starter!A:A,ROW()-1)</f>
        <v>0</v>
      </c>
      <c r="M82" s="108">
        <f>SUMIF(Erfassung2!BD:BD,L82,Erfassung2!BE:BE)</f>
        <v>222</v>
      </c>
      <c r="N82" s="108">
        <f>SUMIF(Erfassung2!BD:BD,L82,Erfassung2!BG:BG)</f>
        <v>2</v>
      </c>
      <c r="O82" s="108">
        <f t="shared" si="7"/>
        <v>110.999999918</v>
      </c>
      <c r="P82" s="108">
        <f t="shared" si="8"/>
        <v>64</v>
      </c>
    </row>
    <row r="83" spans="1:16" x14ac:dyDescent="0.25">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110.999999903</v>
      </c>
      <c r="L83" s="108">
        <f>INDEX(Starter!A:A,ROW()-1)</f>
        <v>0</v>
      </c>
      <c r="M83" s="108">
        <f>SUMIF(Erfassung2!BD:BD,L83,Erfassung2!BE:BE)</f>
        <v>222</v>
      </c>
      <c r="N83" s="108">
        <f>SUMIF(Erfassung2!BD:BD,L83,Erfassung2!BG:BG)</f>
        <v>2</v>
      </c>
      <c r="O83" s="108">
        <f t="shared" si="7"/>
        <v>110.999999917</v>
      </c>
      <c r="P83" s="108">
        <f t="shared" si="8"/>
        <v>65</v>
      </c>
    </row>
    <row r="84" spans="1:16" x14ac:dyDescent="0.25">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110.999999902</v>
      </c>
      <c r="L84" s="108">
        <f>INDEX(Starter!A:A,ROW()-1)</f>
        <v>0</v>
      </c>
      <c r="M84" s="108">
        <f>SUMIF(Erfassung2!BD:BD,L84,Erfassung2!BE:BE)</f>
        <v>222</v>
      </c>
      <c r="N84" s="108">
        <f>SUMIF(Erfassung2!BD:BD,L84,Erfassung2!BG:BG)</f>
        <v>2</v>
      </c>
      <c r="O84" s="108">
        <f t="shared" si="7"/>
        <v>110.99999991599999</v>
      </c>
      <c r="P84" s="108">
        <f t="shared" si="8"/>
        <v>66</v>
      </c>
    </row>
    <row r="85" spans="1:16" x14ac:dyDescent="0.25">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110.999999901</v>
      </c>
      <c r="L85" s="108">
        <f>INDEX(Starter!A:A,ROW()-1)</f>
        <v>0</v>
      </c>
      <c r="M85" s="108">
        <f>SUMIF(Erfassung2!BD:BD,L85,Erfassung2!BE:BE)</f>
        <v>222</v>
      </c>
      <c r="N85" s="108">
        <f>SUMIF(Erfassung2!BD:BD,L85,Erfassung2!BG:BG)</f>
        <v>2</v>
      </c>
      <c r="O85" s="108">
        <f t="shared" si="7"/>
        <v>110.999999915</v>
      </c>
      <c r="P85" s="108">
        <f t="shared" si="8"/>
        <v>67</v>
      </c>
    </row>
    <row r="86" spans="1:16" x14ac:dyDescent="0.25">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110.99999990000001</v>
      </c>
      <c r="L86" s="108">
        <f>INDEX(Starter!A:A,ROW()-1)</f>
        <v>0</v>
      </c>
      <c r="M86" s="108">
        <f>SUMIF(Erfassung2!BD:BD,L86,Erfassung2!BE:BE)</f>
        <v>222</v>
      </c>
      <c r="N86" s="108">
        <f>SUMIF(Erfassung2!BD:BD,L86,Erfassung2!BG:BG)</f>
        <v>2</v>
      </c>
      <c r="O86" s="108">
        <f t="shared" si="7"/>
        <v>110.999999914</v>
      </c>
      <c r="P86" s="108">
        <f t="shared" si="8"/>
        <v>68</v>
      </c>
    </row>
    <row r="87" spans="1:16" x14ac:dyDescent="0.25">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110.999999899</v>
      </c>
      <c r="L87" s="108">
        <f>INDEX(Starter!A:A,ROW()-1)</f>
        <v>0</v>
      </c>
      <c r="M87" s="108">
        <f>SUMIF(Erfassung2!BD:BD,L87,Erfassung2!BE:BE)</f>
        <v>222</v>
      </c>
      <c r="N87" s="108">
        <f>SUMIF(Erfassung2!BD:BD,L87,Erfassung2!BG:BG)</f>
        <v>2</v>
      </c>
      <c r="O87" s="108">
        <f t="shared" si="7"/>
        <v>110.999999913</v>
      </c>
      <c r="P87" s="108">
        <f t="shared" si="8"/>
        <v>69</v>
      </c>
    </row>
    <row r="88" spans="1:16" x14ac:dyDescent="0.25">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110.999999898</v>
      </c>
      <c r="L88" s="108">
        <f>INDEX(Starter!A:A,ROW()-1)</f>
        <v>0</v>
      </c>
      <c r="M88" s="108">
        <f>SUMIF(Erfassung2!BD:BD,L88,Erfassung2!BE:BE)</f>
        <v>222</v>
      </c>
      <c r="N88" s="108">
        <f>SUMIF(Erfassung2!BD:BD,L88,Erfassung2!BG:BG)</f>
        <v>2</v>
      </c>
      <c r="O88" s="108">
        <f t="shared" si="7"/>
        <v>110.99999991200001</v>
      </c>
      <c r="P88" s="108">
        <f t="shared" si="8"/>
        <v>70</v>
      </c>
    </row>
    <row r="89" spans="1:16" x14ac:dyDescent="0.25">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110.999999897</v>
      </c>
      <c r="L89" s="108">
        <f>INDEX(Starter!A:A,ROW()-1)</f>
        <v>0</v>
      </c>
      <c r="M89" s="108">
        <f>SUMIF(Erfassung2!BD:BD,L89,Erfassung2!BE:BE)</f>
        <v>222</v>
      </c>
      <c r="N89" s="108">
        <f>SUMIF(Erfassung2!BD:BD,L89,Erfassung2!BG:BG)</f>
        <v>2</v>
      </c>
      <c r="O89" s="108">
        <f t="shared" si="7"/>
        <v>110.999999911</v>
      </c>
      <c r="P89" s="108">
        <f t="shared" si="8"/>
        <v>71</v>
      </c>
    </row>
    <row r="90" spans="1:16" x14ac:dyDescent="0.25">
      <c r="A90" s="108">
        <f t="shared" si="13"/>
        <v>86</v>
      </c>
      <c r="B90" s="108">
        <f t="shared" si="9"/>
        <v>0</v>
      </c>
      <c r="C90" s="108" t="str">
        <f>IFERROR(INDEX(Starter!B:B,MATCH(B90,Starter!A:A,0)),"")</f>
        <v/>
      </c>
      <c r="D90" s="108" t="str">
        <f>IFERROR(INDEX(Starter!C:C,MATCH(B90,Starter!A:A,0)),"")</f>
        <v/>
      </c>
      <c r="E90" s="117">
        <f t="shared" si="10"/>
        <v>222</v>
      </c>
      <c r="F90" s="108">
        <f t="shared" si="11"/>
        <v>2</v>
      </c>
      <c r="G90" s="112">
        <f t="shared" si="12"/>
        <v>110.99999989600001</v>
      </c>
      <c r="L90" s="108">
        <f>INDEX(Starter!A:A,ROW()-1)</f>
        <v>0</v>
      </c>
      <c r="M90" s="108">
        <f>SUMIF(Erfassung2!BD:BD,L90,Erfassung2!BE:BE)</f>
        <v>222</v>
      </c>
      <c r="N90" s="108">
        <f>SUMIF(Erfassung2!BD:BD,L90,Erfassung2!BG:BG)</f>
        <v>2</v>
      </c>
      <c r="O90" s="108">
        <f t="shared" si="7"/>
        <v>110.99999991</v>
      </c>
      <c r="P90" s="108">
        <f t="shared" si="8"/>
        <v>72</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73</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74</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75</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76</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77</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78</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80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82</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83</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84</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85</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86</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96</v>
      </c>
    </row>
    <row r="3" spans="1:16" x14ac:dyDescent="0.25">
      <c r="L3" s="108">
        <f>INDEX(Starter!A:A,ROW()-1)</f>
        <v>38735</v>
      </c>
      <c r="M3">
        <f>INDEX(Schnitt1!M:M,MATCH(L3,Schnitt1!L:L,0))+INDEX(Schnitt2!M:M,MATCH(L3,Schnitt2!L:L,0))</f>
        <v>0</v>
      </c>
      <c r="N3">
        <f>INDEX(Schnitt1!N:N,MATCH(L3,Schnitt1!L:L,0))+INDEX(Schnitt2!N:N,MATCH(L3,Schnitt2!L:L,0))</f>
        <v>0</v>
      </c>
      <c r="O3">
        <f t="shared" si="0"/>
        <v>0</v>
      </c>
      <c r="P3">
        <f t="shared" si="1"/>
        <v>96</v>
      </c>
    </row>
    <row r="4" spans="1:16" x14ac:dyDescent="0.25">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96</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96</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96</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96</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96</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INDEX(Schnitt1!M:M,MATCH(L18,Schnitt1!L:L,0))+INDEX(Schnitt2!M:M,MATCH(L18,Schnitt2!L:L,0))</f>
        <v>0</v>
      </c>
      <c r="N18">
        <f>INDEX(Schnitt1!N:N,MATCH(L18,Schnitt1!L:L,0))+INDEX(Schnitt2!N:N,MATCH(L18,Schnitt2!L:L,0))</f>
        <v>0</v>
      </c>
      <c r="O18">
        <f t="shared" si="0"/>
        <v>0</v>
      </c>
      <c r="P18">
        <f t="shared" si="1"/>
        <v>96</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INDEX(Schnitt1!M:M,MATCH(L19,Schnitt1!L:L,0))+INDEX(Schnitt2!M:M,MATCH(L19,Schnitt2!L:L,0))</f>
        <v>222</v>
      </c>
      <c r="N19">
        <f>INDEX(Schnitt1!N:N,MATCH(L19,Schnitt1!L:L,0))+INDEX(Schnitt2!N:N,MATCH(L19,Schnitt2!L:L,0))</f>
        <v>2</v>
      </c>
      <c r="O19">
        <f t="shared" si="0"/>
        <v>110.999999981</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INDEX(Schnitt1!M:M,MATCH(L20,Schnitt1!L:L,0))+INDEX(Schnitt2!M:M,MATCH(L20,Schnitt2!L:L,0))</f>
        <v>222</v>
      </c>
      <c r="N20">
        <f>INDEX(Schnitt1!N:N,MATCH(L20,Schnitt1!L:L,0))+INDEX(Schnitt2!N:N,MATCH(L20,Schnitt2!L:L,0))</f>
        <v>2</v>
      </c>
      <c r="O20">
        <f t="shared" si="0"/>
        <v>110.99999998</v>
      </c>
      <c r="P20">
        <f t="shared" si="1"/>
        <v>11</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INDEX(Schnitt1!M:M,MATCH(L21,Schnitt1!L:L,0))+INDEX(Schnitt2!M:M,MATCH(L21,Schnitt2!L:L,0))</f>
        <v>222</v>
      </c>
      <c r="N21">
        <f>INDEX(Schnitt1!N:N,MATCH(L21,Schnitt1!L:L,0))+INDEX(Schnitt2!N:N,MATCH(L21,Schnitt2!L:L,0))</f>
        <v>2</v>
      </c>
      <c r="O21">
        <f t="shared" si="0"/>
        <v>110.99999997899999</v>
      </c>
      <c r="P21">
        <f t="shared" si="1"/>
        <v>12</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INDEX(Schnitt1!M:M,MATCH(L22,Schnitt1!L:L,0))+INDEX(Schnitt2!M:M,MATCH(L22,Schnitt2!L:L,0))</f>
        <v>222</v>
      </c>
      <c r="N22">
        <f>INDEX(Schnitt1!N:N,MATCH(L22,Schnitt1!L:L,0))+INDEX(Schnitt2!N:N,MATCH(L22,Schnitt2!L:L,0))</f>
        <v>2</v>
      </c>
      <c r="O22">
        <f t="shared" si="0"/>
        <v>110.99999997800001</v>
      </c>
      <c r="P22">
        <f t="shared" si="1"/>
        <v>13</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INDEX(Schnitt1!M:M,MATCH(L23,Schnitt1!L:L,0))+INDEX(Schnitt2!M:M,MATCH(L23,Schnitt2!L:L,0))</f>
        <v>222</v>
      </c>
      <c r="N23">
        <f>INDEX(Schnitt1!N:N,MATCH(L23,Schnitt1!L:L,0))+INDEX(Schnitt2!N:N,MATCH(L23,Schnitt2!L:L,0))</f>
        <v>2</v>
      </c>
      <c r="O23">
        <f t="shared" si="0"/>
        <v>110.999999977</v>
      </c>
      <c r="P23">
        <f t="shared" si="1"/>
        <v>14</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INDEX(Schnitt1!M:M,MATCH(L24,Schnitt1!L:L,0))+INDEX(Schnitt2!M:M,MATCH(L24,Schnitt2!L:L,0))</f>
        <v>222</v>
      </c>
      <c r="N24">
        <f>INDEX(Schnitt1!N:N,MATCH(L24,Schnitt1!L:L,0))+INDEX(Schnitt2!N:N,MATCH(L24,Schnitt2!L:L,0))</f>
        <v>2</v>
      </c>
      <c r="O24">
        <f t="shared" si="0"/>
        <v>110.999999976</v>
      </c>
      <c r="P24">
        <f t="shared" si="1"/>
        <v>15</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INDEX(Schnitt1!M:M,MATCH(L25,Schnitt1!L:L,0))+INDEX(Schnitt2!M:M,MATCH(L25,Schnitt2!L:L,0))</f>
        <v>222</v>
      </c>
      <c r="N25">
        <f>INDEX(Schnitt1!N:N,MATCH(L25,Schnitt1!L:L,0))+INDEX(Schnitt2!N:N,MATCH(L25,Schnitt2!L:L,0))</f>
        <v>2</v>
      </c>
      <c r="O25">
        <f t="shared" si="0"/>
        <v>110.99999997499999</v>
      </c>
      <c r="P25">
        <f t="shared" si="1"/>
        <v>16</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INDEX(Schnitt1!M:M,MATCH(L26,Schnitt1!L:L,0))+INDEX(Schnitt2!M:M,MATCH(L26,Schnitt2!L:L,0))</f>
        <v>222</v>
      </c>
      <c r="N26">
        <f>INDEX(Schnitt1!N:N,MATCH(L26,Schnitt1!L:L,0))+INDEX(Schnitt2!N:N,MATCH(L26,Schnitt2!L:L,0))</f>
        <v>2</v>
      </c>
      <c r="O26">
        <f t="shared" si="0"/>
        <v>110.999999974</v>
      </c>
      <c r="P26">
        <f t="shared" si="1"/>
        <v>17</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INDEX(Schnitt1!M:M,MATCH(L27,Schnitt1!L:L,0))+INDEX(Schnitt2!M:M,MATCH(L27,Schnitt2!L:L,0))</f>
        <v>222</v>
      </c>
      <c r="N27">
        <f>INDEX(Schnitt1!N:N,MATCH(L27,Schnitt1!L:L,0))+INDEX(Schnitt2!N:N,MATCH(L27,Schnitt2!L:L,0))</f>
        <v>2</v>
      </c>
      <c r="O27">
        <f t="shared" si="0"/>
        <v>110.999999973</v>
      </c>
      <c r="P27">
        <f t="shared" si="1"/>
        <v>18</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INDEX(Schnitt1!M:M,MATCH(L28,Schnitt1!L:L,0))+INDEX(Schnitt2!M:M,MATCH(L28,Schnitt2!L:L,0))</f>
        <v>222</v>
      </c>
      <c r="N28">
        <f>INDEX(Schnitt1!N:N,MATCH(L28,Schnitt1!L:L,0))+INDEX(Schnitt2!N:N,MATCH(L28,Schnitt2!L:L,0))</f>
        <v>2</v>
      </c>
      <c r="O28">
        <f t="shared" si="0"/>
        <v>110.999999972</v>
      </c>
      <c r="P28">
        <f t="shared" si="1"/>
        <v>19</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INDEX(Schnitt1!M:M,MATCH(L29,Schnitt1!L:L,0))+INDEX(Schnitt2!M:M,MATCH(L29,Schnitt2!L:L,0))</f>
        <v>222</v>
      </c>
      <c r="N29">
        <f>INDEX(Schnitt1!N:N,MATCH(L29,Schnitt1!L:L,0))+INDEX(Schnitt2!N:N,MATCH(L29,Schnitt2!L:L,0))</f>
        <v>2</v>
      </c>
      <c r="O29">
        <f t="shared" si="0"/>
        <v>110.99999997099999</v>
      </c>
      <c r="P29">
        <f t="shared" si="1"/>
        <v>20</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INDEX(Schnitt1!M:M,MATCH(L30,Schnitt1!L:L,0))+INDEX(Schnitt2!M:M,MATCH(L30,Schnitt2!L:L,0))</f>
        <v>222</v>
      </c>
      <c r="N30">
        <f>INDEX(Schnitt1!N:N,MATCH(L30,Schnitt1!L:L,0))+INDEX(Schnitt2!N:N,MATCH(L30,Schnitt2!L:L,0))</f>
        <v>2</v>
      </c>
      <c r="O30">
        <f t="shared" si="0"/>
        <v>110.99999997</v>
      </c>
      <c r="P30">
        <f t="shared" si="1"/>
        <v>21</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INDEX(Schnitt1!M:M,MATCH(L31,Schnitt1!L:L,0))+INDEX(Schnitt2!M:M,MATCH(L31,Schnitt2!L:L,0))</f>
        <v>222</v>
      </c>
      <c r="N31">
        <f>INDEX(Schnitt1!N:N,MATCH(L31,Schnitt1!L:L,0))+INDEX(Schnitt2!N:N,MATCH(L31,Schnitt2!L:L,0))</f>
        <v>2</v>
      </c>
      <c r="O31">
        <f t="shared" si="0"/>
        <v>110.999999969</v>
      </c>
      <c r="P31">
        <f t="shared" si="1"/>
        <v>22</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INDEX(Schnitt1!M:M,MATCH(L32,Schnitt1!L:L,0))+INDEX(Schnitt2!M:M,MATCH(L32,Schnitt2!L:L,0))</f>
        <v>222</v>
      </c>
      <c r="N32">
        <f>INDEX(Schnitt1!N:N,MATCH(L32,Schnitt1!L:L,0))+INDEX(Schnitt2!N:N,MATCH(L32,Schnitt2!L:L,0))</f>
        <v>2</v>
      </c>
      <c r="O32">
        <f t="shared" si="0"/>
        <v>110.999999968</v>
      </c>
      <c r="P32">
        <f t="shared" si="1"/>
        <v>23</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INDEX(Schnitt1!M:M,MATCH(L33,Schnitt1!L:L,0))+INDEX(Schnitt2!M:M,MATCH(L33,Schnitt2!L:L,0))</f>
        <v>222</v>
      </c>
      <c r="N33">
        <f>INDEX(Schnitt1!N:N,MATCH(L33,Schnitt1!L:L,0))+INDEX(Schnitt2!N:N,MATCH(L33,Schnitt2!L:L,0))</f>
        <v>2</v>
      </c>
      <c r="O33">
        <f t="shared" si="0"/>
        <v>110.99999996699999</v>
      </c>
      <c r="P33">
        <f t="shared" si="1"/>
        <v>24</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INDEX(Schnitt1!M:M,MATCH(L34,Schnitt1!L:L,0))+INDEX(Schnitt2!M:M,MATCH(L34,Schnitt2!L:L,0))</f>
        <v>222</v>
      </c>
      <c r="N34">
        <f>INDEX(Schnitt1!N:N,MATCH(L34,Schnitt1!L:L,0))+INDEX(Schnitt2!N:N,MATCH(L34,Schnitt2!L:L,0))</f>
        <v>2</v>
      </c>
      <c r="O34">
        <f t="shared" si="0"/>
        <v>110.999999966</v>
      </c>
      <c r="P34">
        <f t="shared" si="1"/>
        <v>25</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INDEX(Schnitt1!M:M,MATCH(L35,Schnitt1!L:L,0))+INDEX(Schnitt2!M:M,MATCH(L35,Schnitt2!L:L,0))</f>
        <v>222</v>
      </c>
      <c r="N35">
        <f>INDEX(Schnitt1!N:N,MATCH(L35,Schnitt1!L:L,0))+INDEX(Schnitt2!N:N,MATCH(L35,Schnitt2!L:L,0))</f>
        <v>2</v>
      </c>
      <c r="O35">
        <f t="shared" si="0"/>
        <v>110.999999965</v>
      </c>
      <c r="P35">
        <f t="shared" si="1"/>
        <v>26</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INDEX(Schnitt1!M:M,MATCH(L36,Schnitt1!L:L,0))+INDEX(Schnitt2!M:M,MATCH(L36,Schnitt2!L:L,0))</f>
        <v>222</v>
      </c>
      <c r="N36">
        <f>INDEX(Schnitt1!N:N,MATCH(L36,Schnitt1!L:L,0))+INDEX(Schnitt2!N:N,MATCH(L36,Schnitt2!L:L,0))</f>
        <v>2</v>
      </c>
      <c r="O36">
        <f t="shared" si="0"/>
        <v>110.999999964</v>
      </c>
      <c r="P36">
        <f t="shared" si="1"/>
        <v>27</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INDEX(Schnitt1!M:M,MATCH(L37,Schnitt1!L:L,0))+INDEX(Schnitt2!M:M,MATCH(L37,Schnitt2!L:L,0))</f>
        <v>222</v>
      </c>
      <c r="N37">
        <f>INDEX(Schnitt1!N:N,MATCH(L37,Schnitt1!L:L,0))+INDEX(Schnitt2!N:N,MATCH(L37,Schnitt2!L:L,0))</f>
        <v>2</v>
      </c>
      <c r="O37">
        <f t="shared" si="0"/>
        <v>110.99999996299999</v>
      </c>
      <c r="P37">
        <f t="shared" si="1"/>
        <v>28</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INDEX(Schnitt1!M:M,MATCH(L38,Schnitt1!L:L,0))+INDEX(Schnitt2!M:M,MATCH(L38,Schnitt2!L:L,0))</f>
        <v>222</v>
      </c>
      <c r="N38">
        <f>INDEX(Schnitt1!N:N,MATCH(L38,Schnitt1!L:L,0))+INDEX(Schnitt2!N:N,MATCH(L38,Schnitt2!L:L,0))</f>
        <v>2</v>
      </c>
      <c r="O38">
        <f t="shared" si="0"/>
        <v>110.999999962</v>
      </c>
      <c r="P38">
        <f t="shared" si="1"/>
        <v>29</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INDEX(Schnitt1!M:M,MATCH(L39,Schnitt1!L:L,0))+INDEX(Schnitt2!M:M,MATCH(L39,Schnitt2!L:L,0))</f>
        <v>222</v>
      </c>
      <c r="N39">
        <f>INDEX(Schnitt1!N:N,MATCH(L39,Schnitt1!L:L,0))+INDEX(Schnitt2!N:N,MATCH(L39,Schnitt2!L:L,0))</f>
        <v>2</v>
      </c>
      <c r="O39">
        <f t="shared" si="0"/>
        <v>110.999999961</v>
      </c>
      <c r="P39">
        <f t="shared" si="1"/>
        <v>30</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INDEX(Schnitt1!M:M,MATCH(L40,Schnitt1!L:L,0))+INDEX(Schnitt2!M:M,MATCH(L40,Schnitt2!L:L,0))</f>
        <v>222</v>
      </c>
      <c r="N40">
        <f>INDEX(Schnitt1!N:N,MATCH(L40,Schnitt1!L:L,0))+INDEX(Schnitt2!N:N,MATCH(L40,Schnitt2!L:L,0))</f>
        <v>2</v>
      </c>
      <c r="O40">
        <f t="shared" si="0"/>
        <v>110.99999996</v>
      </c>
      <c r="P40">
        <f t="shared" si="1"/>
        <v>31</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INDEX(Schnitt1!M:M,MATCH(L41,Schnitt1!L:L,0))+INDEX(Schnitt2!M:M,MATCH(L41,Schnitt2!L:L,0))</f>
        <v>222</v>
      </c>
      <c r="N41">
        <f>INDEX(Schnitt1!N:N,MATCH(L41,Schnitt1!L:L,0))+INDEX(Schnitt2!N:N,MATCH(L41,Schnitt2!L:L,0))</f>
        <v>2</v>
      </c>
      <c r="O41">
        <f t="shared" si="0"/>
        <v>110.99999995899999</v>
      </c>
      <c r="P41">
        <f t="shared" si="1"/>
        <v>32</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INDEX(Schnitt1!M:M,MATCH(L42,Schnitt1!L:L,0))+INDEX(Schnitt2!M:M,MATCH(L42,Schnitt2!L:L,0))</f>
        <v>222</v>
      </c>
      <c r="N42">
        <f>INDEX(Schnitt1!N:N,MATCH(L42,Schnitt1!L:L,0))+INDEX(Schnitt2!N:N,MATCH(L42,Schnitt2!L:L,0))</f>
        <v>2</v>
      </c>
      <c r="O42">
        <f t="shared" si="0"/>
        <v>110.999999958</v>
      </c>
      <c r="P42">
        <f t="shared" si="1"/>
        <v>33</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INDEX(Schnitt1!M:M,MATCH(L43,Schnitt1!L:L,0))+INDEX(Schnitt2!M:M,MATCH(L43,Schnitt2!L:L,0))</f>
        <v>222</v>
      </c>
      <c r="N43">
        <f>INDEX(Schnitt1!N:N,MATCH(L43,Schnitt1!L:L,0))+INDEX(Schnitt2!N:N,MATCH(L43,Schnitt2!L:L,0))</f>
        <v>2</v>
      </c>
      <c r="O43">
        <f t="shared" si="0"/>
        <v>110.999999957</v>
      </c>
      <c r="P43">
        <f t="shared" si="1"/>
        <v>34</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INDEX(Schnitt1!M:M,MATCH(L44,Schnitt1!L:L,0))+INDEX(Schnitt2!M:M,MATCH(L44,Schnitt2!L:L,0))</f>
        <v>222</v>
      </c>
      <c r="N44">
        <f>INDEX(Schnitt1!N:N,MATCH(L44,Schnitt1!L:L,0))+INDEX(Schnitt2!N:N,MATCH(L44,Schnitt2!L:L,0))</f>
        <v>2</v>
      </c>
      <c r="O44">
        <f t="shared" si="0"/>
        <v>110.999999956</v>
      </c>
      <c r="P44">
        <f t="shared" si="1"/>
        <v>35</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INDEX(Schnitt1!M:M,MATCH(L45,Schnitt1!L:L,0))+INDEX(Schnitt2!M:M,MATCH(L45,Schnitt2!L:L,0))</f>
        <v>222</v>
      </c>
      <c r="N45">
        <f>INDEX(Schnitt1!N:N,MATCH(L45,Schnitt1!L:L,0))+INDEX(Schnitt2!N:N,MATCH(L45,Schnitt2!L:L,0))</f>
        <v>2</v>
      </c>
      <c r="O45">
        <f t="shared" si="0"/>
        <v>110.99999995500001</v>
      </c>
      <c r="P45">
        <f t="shared" si="1"/>
        <v>36</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INDEX(Schnitt1!M:M,MATCH(L46,Schnitt1!L:L,0))+INDEX(Schnitt2!M:M,MATCH(L46,Schnitt2!L:L,0))</f>
        <v>222</v>
      </c>
      <c r="N46">
        <f>INDEX(Schnitt1!N:N,MATCH(L46,Schnitt1!L:L,0))+INDEX(Schnitt2!N:N,MATCH(L46,Schnitt2!L:L,0))</f>
        <v>2</v>
      </c>
      <c r="O46">
        <f t="shared" si="0"/>
        <v>110.999999954</v>
      </c>
      <c r="P46">
        <f t="shared" si="1"/>
        <v>37</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INDEX(Schnitt1!M:M,MATCH(L47,Schnitt1!L:L,0))+INDEX(Schnitt2!M:M,MATCH(L47,Schnitt2!L:L,0))</f>
        <v>222</v>
      </c>
      <c r="N47">
        <f>INDEX(Schnitt1!N:N,MATCH(L47,Schnitt1!L:L,0))+INDEX(Schnitt2!N:N,MATCH(L47,Schnitt2!L:L,0))</f>
        <v>2</v>
      </c>
      <c r="O47">
        <f t="shared" si="0"/>
        <v>110.999999953</v>
      </c>
      <c r="P47">
        <f t="shared" si="1"/>
        <v>38</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INDEX(Schnitt1!M:M,MATCH(L48,Schnitt1!L:L,0))+INDEX(Schnitt2!M:M,MATCH(L48,Schnitt2!L:L,0))</f>
        <v>222</v>
      </c>
      <c r="N48">
        <f>INDEX(Schnitt1!N:N,MATCH(L48,Schnitt1!L:L,0))+INDEX(Schnitt2!N:N,MATCH(L48,Schnitt2!L:L,0))</f>
        <v>2</v>
      </c>
      <c r="O48">
        <f t="shared" si="0"/>
        <v>110.999999952</v>
      </c>
      <c r="P48">
        <f t="shared" si="1"/>
        <v>39</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INDEX(Schnitt1!M:M,MATCH(L49,Schnitt1!L:L,0))+INDEX(Schnitt2!M:M,MATCH(L49,Schnitt2!L:L,0))</f>
        <v>222</v>
      </c>
      <c r="N49">
        <f>INDEX(Schnitt1!N:N,MATCH(L49,Schnitt1!L:L,0))+INDEX(Schnitt2!N:N,MATCH(L49,Schnitt2!L:L,0))</f>
        <v>2</v>
      </c>
      <c r="O49">
        <f t="shared" si="0"/>
        <v>110.99999995100001</v>
      </c>
      <c r="P49">
        <f t="shared" si="1"/>
        <v>40</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INDEX(Schnitt1!M:M,MATCH(L50,Schnitt1!L:L,0))+INDEX(Schnitt2!M:M,MATCH(L50,Schnitt2!L:L,0))</f>
        <v>222</v>
      </c>
      <c r="N50">
        <f>INDEX(Schnitt1!N:N,MATCH(L50,Schnitt1!L:L,0))+INDEX(Schnitt2!N:N,MATCH(L50,Schnitt2!L:L,0))</f>
        <v>2</v>
      </c>
      <c r="O50">
        <f t="shared" si="0"/>
        <v>110.99999995</v>
      </c>
      <c r="P50">
        <f t="shared" si="1"/>
        <v>41</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INDEX(Schnitt1!M:M,MATCH(L51,Schnitt1!L:L,0))+INDEX(Schnitt2!M:M,MATCH(L51,Schnitt2!L:L,0))</f>
        <v>222</v>
      </c>
      <c r="N51">
        <f>INDEX(Schnitt1!N:N,MATCH(L51,Schnitt1!L:L,0))+INDEX(Schnitt2!N:N,MATCH(L51,Schnitt2!L:L,0))</f>
        <v>2</v>
      </c>
      <c r="O51">
        <f t="shared" si="0"/>
        <v>110.999999949</v>
      </c>
      <c r="P51">
        <f t="shared" si="1"/>
        <v>42</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INDEX(Schnitt1!M:M,MATCH(L52,Schnitt1!L:L,0))+INDEX(Schnitt2!M:M,MATCH(L52,Schnitt2!L:L,0))</f>
        <v>222</v>
      </c>
      <c r="N52">
        <f>INDEX(Schnitt1!N:N,MATCH(L52,Schnitt1!L:L,0))+INDEX(Schnitt2!N:N,MATCH(L52,Schnitt2!L:L,0))</f>
        <v>2</v>
      </c>
      <c r="O52">
        <f t="shared" si="0"/>
        <v>110.999999948</v>
      </c>
      <c r="P52">
        <f t="shared" si="1"/>
        <v>43</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INDEX(Schnitt1!M:M,MATCH(L53,Schnitt1!L:L,0))+INDEX(Schnitt2!M:M,MATCH(L53,Schnitt2!L:L,0))</f>
        <v>222</v>
      </c>
      <c r="N53">
        <f>INDEX(Schnitt1!N:N,MATCH(L53,Schnitt1!L:L,0))+INDEX(Schnitt2!N:N,MATCH(L53,Schnitt2!L:L,0))</f>
        <v>2</v>
      </c>
      <c r="O53">
        <f t="shared" si="0"/>
        <v>110.99999994700001</v>
      </c>
      <c r="P53">
        <f t="shared" si="1"/>
        <v>44</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INDEX(Schnitt1!M:M,MATCH(L54,Schnitt1!L:L,0))+INDEX(Schnitt2!M:M,MATCH(L54,Schnitt2!L:L,0))</f>
        <v>222</v>
      </c>
      <c r="N54">
        <f>INDEX(Schnitt1!N:N,MATCH(L54,Schnitt1!L:L,0))+INDEX(Schnitt2!N:N,MATCH(L54,Schnitt2!L:L,0))</f>
        <v>2</v>
      </c>
      <c r="O54">
        <f t="shared" si="0"/>
        <v>110.999999946</v>
      </c>
      <c r="P54">
        <f t="shared" si="1"/>
        <v>45</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INDEX(Schnitt1!M:M,MATCH(L55,Schnitt1!L:L,0))+INDEX(Schnitt2!M:M,MATCH(L55,Schnitt2!L:L,0))</f>
        <v>222</v>
      </c>
      <c r="N55">
        <f>INDEX(Schnitt1!N:N,MATCH(L55,Schnitt1!L:L,0))+INDEX(Schnitt2!N:N,MATCH(L55,Schnitt2!L:L,0))</f>
        <v>2</v>
      </c>
      <c r="O55">
        <f t="shared" si="0"/>
        <v>110.999999945</v>
      </c>
      <c r="P55">
        <f t="shared" si="1"/>
        <v>46</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INDEX(Schnitt1!M:M,MATCH(L56,Schnitt1!L:L,0))+INDEX(Schnitt2!M:M,MATCH(L56,Schnitt2!L:L,0))</f>
        <v>222</v>
      </c>
      <c r="N56">
        <f>INDEX(Schnitt1!N:N,MATCH(L56,Schnitt1!L:L,0))+INDEX(Schnitt2!N:N,MATCH(L56,Schnitt2!L:L,0))</f>
        <v>2</v>
      </c>
      <c r="O56">
        <f t="shared" si="0"/>
        <v>110.999999944</v>
      </c>
      <c r="P56">
        <f t="shared" si="1"/>
        <v>47</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INDEX(Schnitt1!M:M,MATCH(L57,Schnitt1!L:L,0))+INDEX(Schnitt2!M:M,MATCH(L57,Schnitt2!L:L,0))</f>
        <v>222</v>
      </c>
      <c r="N57">
        <f>INDEX(Schnitt1!N:N,MATCH(L57,Schnitt1!L:L,0))+INDEX(Schnitt2!N:N,MATCH(L57,Schnitt2!L:L,0))</f>
        <v>2</v>
      </c>
      <c r="O57">
        <f t="shared" si="0"/>
        <v>110.99999994300001</v>
      </c>
      <c r="P57">
        <f t="shared" si="1"/>
        <v>48</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INDEX(Schnitt1!M:M,MATCH(L58,Schnitt1!L:L,0))+INDEX(Schnitt2!M:M,MATCH(L58,Schnitt2!L:L,0))</f>
        <v>222</v>
      </c>
      <c r="N58">
        <f>INDEX(Schnitt1!N:N,MATCH(L58,Schnitt1!L:L,0))+INDEX(Schnitt2!N:N,MATCH(L58,Schnitt2!L:L,0))</f>
        <v>2</v>
      </c>
      <c r="O58">
        <f t="shared" si="0"/>
        <v>110.999999942</v>
      </c>
      <c r="P58">
        <f t="shared" si="1"/>
        <v>49</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INDEX(Schnitt1!M:M,MATCH(L59,Schnitt1!L:L,0))+INDEX(Schnitt2!M:M,MATCH(L59,Schnitt2!L:L,0))</f>
        <v>222</v>
      </c>
      <c r="N59">
        <f>INDEX(Schnitt1!N:N,MATCH(L59,Schnitt1!L:L,0))+INDEX(Schnitt2!N:N,MATCH(L59,Schnitt2!L:L,0))</f>
        <v>2</v>
      </c>
      <c r="O59">
        <f t="shared" si="0"/>
        <v>110.999999941</v>
      </c>
      <c r="P59">
        <f t="shared" si="1"/>
        <v>50</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INDEX(Schnitt1!M:M,MATCH(L60,Schnitt1!L:L,0))+INDEX(Schnitt2!M:M,MATCH(L60,Schnitt2!L:L,0))</f>
        <v>222</v>
      </c>
      <c r="N60">
        <f>INDEX(Schnitt1!N:N,MATCH(L60,Schnitt1!L:L,0))+INDEX(Schnitt2!N:N,MATCH(L60,Schnitt2!L:L,0))</f>
        <v>2</v>
      </c>
      <c r="O60">
        <f t="shared" si="0"/>
        <v>110.99999994</v>
      </c>
      <c r="P60">
        <f t="shared" si="1"/>
        <v>51</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INDEX(Schnitt1!M:M,MATCH(L61,Schnitt1!L:L,0))+INDEX(Schnitt2!M:M,MATCH(L61,Schnitt2!L:L,0))</f>
        <v>222</v>
      </c>
      <c r="N61">
        <f>INDEX(Schnitt1!N:N,MATCH(L61,Schnitt1!L:L,0))+INDEX(Schnitt2!N:N,MATCH(L61,Schnitt2!L:L,0))</f>
        <v>2</v>
      </c>
      <c r="O61">
        <f t="shared" si="0"/>
        <v>110.99999993900001</v>
      </c>
      <c r="P61">
        <f t="shared" si="1"/>
        <v>52</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INDEX(Schnitt1!M:M,MATCH(L62,Schnitt1!L:L,0))+INDEX(Schnitt2!M:M,MATCH(L62,Schnitt2!L:L,0))</f>
        <v>222</v>
      </c>
      <c r="N62">
        <f>INDEX(Schnitt1!N:N,MATCH(L62,Schnitt1!L:L,0))+INDEX(Schnitt2!N:N,MATCH(L62,Schnitt2!L:L,0))</f>
        <v>2</v>
      </c>
      <c r="O62">
        <f t="shared" si="0"/>
        <v>110.999999938</v>
      </c>
      <c r="P62">
        <f t="shared" si="1"/>
        <v>53</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INDEX(Schnitt1!M:M,MATCH(L63,Schnitt1!L:L,0))+INDEX(Schnitt2!M:M,MATCH(L63,Schnitt2!L:L,0))</f>
        <v>222</v>
      </c>
      <c r="N63">
        <f>INDEX(Schnitt1!N:N,MATCH(L63,Schnitt1!L:L,0))+INDEX(Schnitt2!N:N,MATCH(L63,Schnitt2!L:L,0))</f>
        <v>2</v>
      </c>
      <c r="O63">
        <f t="shared" si="0"/>
        <v>110.999999937</v>
      </c>
      <c r="P63">
        <f t="shared" si="1"/>
        <v>54</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INDEX(Schnitt1!M:M,MATCH(L64,Schnitt1!L:L,0))+INDEX(Schnitt2!M:M,MATCH(L64,Schnitt2!L:L,0))</f>
        <v>222</v>
      </c>
      <c r="N64">
        <f>INDEX(Schnitt1!N:N,MATCH(L64,Schnitt1!L:L,0))+INDEX(Schnitt2!N:N,MATCH(L64,Schnitt2!L:L,0))</f>
        <v>2</v>
      </c>
      <c r="O64">
        <f t="shared" si="0"/>
        <v>110.99999993599999</v>
      </c>
      <c r="P64">
        <f t="shared" si="1"/>
        <v>55</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INDEX(Schnitt1!M:M,MATCH(L65,Schnitt1!L:L,0))+INDEX(Schnitt2!M:M,MATCH(L65,Schnitt2!L:L,0))</f>
        <v>222</v>
      </c>
      <c r="N65">
        <f>INDEX(Schnitt1!N:N,MATCH(L65,Schnitt1!L:L,0))+INDEX(Schnitt2!N:N,MATCH(L65,Schnitt2!L:L,0))</f>
        <v>2</v>
      </c>
      <c r="O65">
        <f t="shared" si="0"/>
        <v>110.99999993500001</v>
      </c>
      <c r="P65">
        <f t="shared" si="1"/>
        <v>56</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57</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INDEX(Schnitt1!M:M,MATCH(L67,Schnitt1!L:L,0))+INDEX(Schnitt2!M:M,MATCH(L67,Schnitt2!L:L,0))</f>
        <v>222</v>
      </c>
      <c r="N67">
        <f>INDEX(Schnitt1!N:N,MATCH(L67,Schnitt1!L:L,0))+INDEX(Schnitt2!N:N,MATCH(L67,Schnitt2!L:L,0))</f>
        <v>2</v>
      </c>
      <c r="O67">
        <f t="shared" si="7"/>
        <v>110.999999933</v>
      </c>
      <c r="P67">
        <f t="shared" si="8"/>
        <v>58</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INDEX(Schnitt1!M:M,MATCH(L68,Schnitt1!L:L,0))+INDEX(Schnitt2!M:M,MATCH(L68,Schnitt2!L:L,0))</f>
        <v>222</v>
      </c>
      <c r="N68">
        <f>INDEX(Schnitt1!N:N,MATCH(L68,Schnitt1!L:L,0))+INDEX(Schnitt2!N:N,MATCH(L68,Schnitt2!L:L,0))</f>
        <v>2</v>
      </c>
      <c r="O68">
        <f t="shared" si="7"/>
        <v>110.99999993199999</v>
      </c>
      <c r="P68">
        <f t="shared" si="8"/>
        <v>59</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INDEX(Schnitt1!M:M,MATCH(L69,Schnitt1!L:L,0))+INDEX(Schnitt2!M:M,MATCH(L69,Schnitt2!L:L,0))</f>
        <v>222</v>
      </c>
      <c r="N69">
        <f>INDEX(Schnitt1!N:N,MATCH(L69,Schnitt1!L:L,0))+INDEX(Schnitt2!N:N,MATCH(L69,Schnitt2!L:L,0))</f>
        <v>2</v>
      </c>
      <c r="O69">
        <f t="shared" si="7"/>
        <v>110.999999931</v>
      </c>
      <c r="P69">
        <f t="shared" si="8"/>
        <v>60</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INDEX(Schnitt1!M:M,MATCH(L70,Schnitt1!L:L,0))+INDEX(Schnitt2!M:M,MATCH(L70,Schnitt2!L:L,0))</f>
        <v>222</v>
      </c>
      <c r="N70">
        <f>INDEX(Schnitt1!N:N,MATCH(L70,Schnitt1!L:L,0))+INDEX(Schnitt2!N:N,MATCH(L70,Schnitt2!L:L,0))</f>
        <v>2</v>
      </c>
      <c r="O70">
        <f t="shared" si="7"/>
        <v>110.99999993</v>
      </c>
      <c r="P70">
        <f t="shared" si="8"/>
        <v>61</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INDEX(Schnitt1!M:M,MATCH(L71,Schnitt1!L:L,0))+INDEX(Schnitt2!M:M,MATCH(L71,Schnitt2!L:L,0))</f>
        <v>222</v>
      </c>
      <c r="N71">
        <f>INDEX(Schnitt1!N:N,MATCH(L71,Schnitt1!L:L,0))+INDEX(Schnitt2!N:N,MATCH(L71,Schnitt2!L:L,0))</f>
        <v>2</v>
      </c>
      <c r="O71">
        <f t="shared" si="7"/>
        <v>110.999999929</v>
      </c>
      <c r="P71">
        <f t="shared" si="8"/>
        <v>62</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INDEX(Schnitt1!M:M,MATCH(L72,Schnitt1!L:L,0))+INDEX(Schnitt2!M:M,MATCH(L72,Schnitt2!L:L,0))</f>
        <v>222</v>
      </c>
      <c r="N72">
        <f>INDEX(Schnitt1!N:N,MATCH(L72,Schnitt1!L:L,0))+INDEX(Schnitt2!N:N,MATCH(L72,Schnitt2!L:L,0))</f>
        <v>2</v>
      </c>
      <c r="O72">
        <f t="shared" si="7"/>
        <v>110.99999992799999</v>
      </c>
      <c r="P72">
        <f t="shared" si="8"/>
        <v>63</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INDEX(Schnitt1!M:M,MATCH(L73,Schnitt1!L:L,0))+INDEX(Schnitt2!M:M,MATCH(L73,Schnitt2!L:L,0))</f>
        <v>222</v>
      </c>
      <c r="N73">
        <f>INDEX(Schnitt1!N:N,MATCH(L73,Schnitt1!L:L,0))+INDEX(Schnitt2!N:N,MATCH(L73,Schnitt2!L:L,0))</f>
        <v>2</v>
      </c>
      <c r="O73">
        <f t="shared" si="7"/>
        <v>110.999999927</v>
      </c>
      <c r="P73">
        <f t="shared" si="8"/>
        <v>64</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INDEX(Schnitt1!M:M,MATCH(L74,Schnitt1!L:L,0))+INDEX(Schnitt2!M:M,MATCH(L74,Schnitt2!L:L,0))</f>
        <v>222</v>
      </c>
      <c r="N74">
        <f>INDEX(Schnitt1!N:N,MATCH(L74,Schnitt1!L:L,0))+INDEX(Schnitt2!N:N,MATCH(L74,Schnitt2!L:L,0))</f>
        <v>2</v>
      </c>
      <c r="O74">
        <f t="shared" si="7"/>
        <v>110.999999926</v>
      </c>
      <c r="P74">
        <f t="shared" si="8"/>
        <v>65</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INDEX(Schnitt1!M:M,MATCH(L75,Schnitt1!L:L,0))+INDEX(Schnitt2!M:M,MATCH(L75,Schnitt2!L:L,0))</f>
        <v>222</v>
      </c>
      <c r="N75">
        <f>INDEX(Schnitt1!N:N,MATCH(L75,Schnitt1!L:L,0))+INDEX(Schnitt2!N:N,MATCH(L75,Schnitt2!L:L,0))</f>
        <v>2</v>
      </c>
      <c r="O75">
        <f t="shared" si="7"/>
        <v>110.999999925</v>
      </c>
      <c r="P75">
        <f t="shared" si="8"/>
        <v>66</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INDEX(Schnitt1!M:M,MATCH(L76,Schnitt1!L:L,0))+INDEX(Schnitt2!M:M,MATCH(L76,Schnitt2!L:L,0))</f>
        <v>222</v>
      </c>
      <c r="N76">
        <f>INDEX(Schnitt1!N:N,MATCH(L76,Schnitt1!L:L,0))+INDEX(Schnitt2!N:N,MATCH(L76,Schnitt2!L:L,0))</f>
        <v>2</v>
      </c>
      <c r="O76">
        <f t="shared" si="7"/>
        <v>110.99999992399999</v>
      </c>
      <c r="P76">
        <f t="shared" si="8"/>
        <v>67</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INDEX(Schnitt1!M:M,MATCH(L77,Schnitt1!L:L,0))+INDEX(Schnitt2!M:M,MATCH(L77,Schnitt2!L:L,0))</f>
        <v>222</v>
      </c>
      <c r="N77">
        <f>INDEX(Schnitt1!N:N,MATCH(L77,Schnitt1!L:L,0))+INDEX(Schnitt2!N:N,MATCH(L77,Schnitt2!L:L,0))</f>
        <v>2</v>
      </c>
      <c r="O77">
        <f t="shared" si="7"/>
        <v>110.999999923</v>
      </c>
      <c r="P77">
        <f t="shared" si="8"/>
        <v>68</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INDEX(Schnitt1!M:M,MATCH(L78,Schnitt1!L:L,0))+INDEX(Schnitt2!M:M,MATCH(L78,Schnitt2!L:L,0))</f>
        <v>222</v>
      </c>
      <c r="N78">
        <f>INDEX(Schnitt1!N:N,MATCH(L78,Schnitt1!L:L,0))+INDEX(Schnitt2!N:N,MATCH(L78,Schnitt2!L:L,0))</f>
        <v>2</v>
      </c>
      <c r="O78">
        <f t="shared" si="7"/>
        <v>110.999999922</v>
      </c>
      <c r="P78">
        <f t="shared" si="8"/>
        <v>69</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INDEX(Schnitt1!M:M,MATCH(L79,Schnitt1!L:L,0))+INDEX(Schnitt2!M:M,MATCH(L79,Schnitt2!L:L,0))</f>
        <v>222</v>
      </c>
      <c r="N79">
        <f>INDEX(Schnitt1!N:N,MATCH(L79,Schnitt1!L:L,0))+INDEX(Schnitt2!N:N,MATCH(L79,Schnitt2!L:L,0))</f>
        <v>2</v>
      </c>
      <c r="O79">
        <f t="shared" si="7"/>
        <v>110.999999921</v>
      </c>
      <c r="P79">
        <f t="shared" si="8"/>
        <v>70</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INDEX(Schnitt1!M:M,MATCH(L80,Schnitt1!L:L,0))+INDEX(Schnitt2!M:M,MATCH(L80,Schnitt2!L:L,0))</f>
        <v>222</v>
      </c>
      <c r="N80">
        <f>INDEX(Schnitt1!N:N,MATCH(L80,Schnitt1!L:L,0))+INDEX(Schnitt2!N:N,MATCH(L80,Schnitt2!L:L,0))</f>
        <v>2</v>
      </c>
      <c r="O80">
        <f t="shared" si="7"/>
        <v>110.99999991999999</v>
      </c>
      <c r="P80">
        <f t="shared" si="8"/>
        <v>71</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INDEX(Schnitt1!M:M,MATCH(L81,Schnitt1!L:L,0))+INDEX(Schnitt2!M:M,MATCH(L81,Schnitt2!L:L,0))</f>
        <v>222</v>
      </c>
      <c r="N81">
        <f>INDEX(Schnitt1!N:N,MATCH(L81,Schnitt1!L:L,0))+INDEX(Schnitt2!N:N,MATCH(L81,Schnitt2!L:L,0))</f>
        <v>2</v>
      </c>
      <c r="O81">
        <f t="shared" si="7"/>
        <v>110.999999919</v>
      </c>
      <c r="P81">
        <f t="shared" si="8"/>
        <v>72</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INDEX(Schnitt1!M:M,MATCH(L82,Schnitt1!L:L,0))+INDEX(Schnitt2!M:M,MATCH(L82,Schnitt2!L:L,0))</f>
        <v>222</v>
      </c>
      <c r="N82">
        <f>INDEX(Schnitt1!N:N,MATCH(L82,Schnitt1!L:L,0))+INDEX(Schnitt2!N:N,MATCH(L82,Schnitt2!L:L,0))</f>
        <v>2</v>
      </c>
      <c r="O82">
        <f t="shared" si="7"/>
        <v>110.999999918</v>
      </c>
      <c r="P82">
        <f t="shared" si="8"/>
        <v>73</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INDEX(Schnitt1!M:M,MATCH(L83,Schnitt1!L:L,0))+INDEX(Schnitt2!M:M,MATCH(L83,Schnitt2!L:L,0))</f>
        <v>222</v>
      </c>
      <c r="N83">
        <f>INDEX(Schnitt1!N:N,MATCH(L83,Schnitt1!L:L,0))+INDEX(Schnitt2!N:N,MATCH(L83,Schnitt2!L:L,0))</f>
        <v>2</v>
      </c>
      <c r="O83">
        <f t="shared" si="7"/>
        <v>110.999999917</v>
      </c>
      <c r="P83">
        <f t="shared" si="8"/>
        <v>74</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75</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INDEX(Schnitt1!M:M,MATCH(L85,Schnitt1!L:L,0))+INDEX(Schnitt2!M:M,MATCH(L85,Schnitt2!L:L,0))</f>
        <v>222</v>
      </c>
      <c r="N85">
        <f>INDEX(Schnitt1!N:N,MATCH(L85,Schnitt1!L:L,0))+INDEX(Schnitt2!N:N,MATCH(L85,Schnitt2!L:L,0))</f>
        <v>2</v>
      </c>
      <c r="O85">
        <f t="shared" si="7"/>
        <v>110.999999915</v>
      </c>
      <c r="P85">
        <f t="shared" si="8"/>
        <v>76</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INDEX(Schnitt1!M:M,MATCH(L86,Schnitt1!L:L,0))+INDEX(Schnitt2!M:M,MATCH(L86,Schnitt2!L:L,0))</f>
        <v>222</v>
      </c>
      <c r="N86">
        <f>INDEX(Schnitt1!N:N,MATCH(L86,Schnitt1!L:L,0))+INDEX(Schnitt2!N:N,MATCH(L86,Schnitt2!L:L,0))</f>
        <v>2</v>
      </c>
      <c r="O86">
        <f t="shared" si="7"/>
        <v>110.999999914</v>
      </c>
      <c r="P86">
        <f t="shared" si="8"/>
        <v>77</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INDEX(Schnitt1!M:M,MATCH(L87,Schnitt1!L:L,0))+INDEX(Schnitt2!M:M,MATCH(L87,Schnitt2!L:L,0))</f>
        <v>222</v>
      </c>
      <c r="N87">
        <f>INDEX(Schnitt1!N:N,MATCH(L87,Schnitt1!L:L,0))+INDEX(Schnitt2!N:N,MATCH(L87,Schnitt2!L:L,0))</f>
        <v>2</v>
      </c>
      <c r="O87">
        <f t="shared" si="7"/>
        <v>110.999999913</v>
      </c>
      <c r="P87">
        <f t="shared" si="8"/>
        <v>78</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INDEX(Schnitt1!M:M,MATCH(L88,Schnitt1!L:L,0))+INDEX(Schnitt2!M:M,MATCH(L88,Schnitt2!L:L,0))</f>
        <v>222</v>
      </c>
      <c r="N88">
        <f>INDEX(Schnitt1!N:N,MATCH(L88,Schnitt1!L:L,0))+INDEX(Schnitt2!N:N,MATCH(L88,Schnitt2!L:L,0))</f>
        <v>2</v>
      </c>
      <c r="O88">
        <f t="shared" si="7"/>
        <v>110.99999991200001</v>
      </c>
      <c r="P88">
        <f t="shared" si="8"/>
        <v>79</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INDEX(Schnitt1!M:M,MATCH(L89,Schnitt1!L:L,0))+INDEX(Schnitt2!M:M,MATCH(L89,Schnitt2!L:L,0))</f>
        <v>222</v>
      </c>
      <c r="N89">
        <f>INDEX(Schnitt1!N:N,MATCH(L89,Schnitt1!L:L,0))+INDEX(Schnitt2!N:N,MATCH(L89,Schnitt2!L:L,0))</f>
        <v>2</v>
      </c>
      <c r="O89">
        <f t="shared" si="7"/>
        <v>110.999999911</v>
      </c>
      <c r="P89">
        <f t="shared" si="8"/>
        <v>80</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INDEX(Schnitt1!M:M,MATCH(L90,Schnitt1!L:L,0))+INDEX(Schnitt2!M:M,MATCH(L90,Schnitt2!L:L,0))</f>
        <v>222</v>
      </c>
      <c r="N90">
        <f>INDEX(Schnitt1!N:N,MATCH(L90,Schnitt1!L:L,0))+INDEX(Schnitt2!N:N,MATCH(L90,Schnitt2!L:L,0))</f>
        <v>2</v>
      </c>
      <c r="O90">
        <f t="shared" si="7"/>
        <v>110.99999991</v>
      </c>
      <c r="P90">
        <f t="shared" si="8"/>
        <v>81</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INDEX(Schnitt1!M:M,MATCH(L91,Schnitt1!L:L,0))+INDEX(Schnitt2!M:M,MATCH(L91,Schnitt2!L:L,0))</f>
        <v>222</v>
      </c>
      <c r="N91">
        <f>INDEX(Schnitt1!N:N,MATCH(L91,Schnitt1!L:L,0))+INDEX(Schnitt2!N:N,MATCH(L91,Schnitt2!L:L,0))</f>
        <v>2</v>
      </c>
      <c r="O91">
        <f t="shared" si="7"/>
        <v>110.999999909</v>
      </c>
      <c r="P91">
        <f t="shared" si="8"/>
        <v>82</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INDEX(Schnitt1!M:M,MATCH(L92,Schnitt1!L:L,0))+INDEX(Schnitt2!M:M,MATCH(L92,Schnitt2!L:L,0))</f>
        <v>222</v>
      </c>
      <c r="N92">
        <f>INDEX(Schnitt1!N:N,MATCH(L92,Schnitt1!L:L,0))+INDEX(Schnitt2!N:N,MATCH(L92,Schnitt2!L:L,0))</f>
        <v>2</v>
      </c>
      <c r="O92">
        <f t="shared" si="7"/>
        <v>110.99999990800001</v>
      </c>
      <c r="P92">
        <f t="shared" si="8"/>
        <v>83</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INDEX(Schnitt1!M:M,MATCH(L93,Schnitt1!L:L,0))+INDEX(Schnitt2!M:M,MATCH(L93,Schnitt2!L:L,0))</f>
        <v>222</v>
      </c>
      <c r="N93">
        <f>INDEX(Schnitt1!N:N,MATCH(L93,Schnitt1!L:L,0))+INDEX(Schnitt2!N:N,MATCH(L93,Schnitt2!L:L,0))</f>
        <v>2</v>
      </c>
      <c r="O93">
        <f t="shared" si="7"/>
        <v>110.999999907</v>
      </c>
      <c r="P93">
        <f t="shared" si="8"/>
        <v>84</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INDEX(Schnitt1!M:M,MATCH(L94,Schnitt1!L:L,0))+INDEX(Schnitt2!M:M,MATCH(L94,Schnitt2!L:L,0))</f>
        <v>222</v>
      </c>
      <c r="N94">
        <f>INDEX(Schnitt1!N:N,MATCH(L94,Schnitt1!L:L,0))+INDEX(Schnitt2!N:N,MATCH(L94,Schnitt2!L:L,0))</f>
        <v>2</v>
      </c>
      <c r="O94">
        <f t="shared" si="7"/>
        <v>110.999999906</v>
      </c>
      <c r="P94">
        <f t="shared" si="8"/>
        <v>85</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INDEX(Schnitt1!M:M,MATCH(L95,Schnitt1!L:L,0))+INDEX(Schnitt2!M:M,MATCH(L95,Schnitt2!L:L,0))</f>
        <v>222</v>
      </c>
      <c r="N95">
        <f>INDEX(Schnitt1!N:N,MATCH(L95,Schnitt1!L:L,0))+INDEX(Schnitt2!N:N,MATCH(L95,Schnitt2!L:L,0))</f>
        <v>2</v>
      </c>
      <c r="O95">
        <f t="shared" si="7"/>
        <v>110.999999905</v>
      </c>
      <c r="P95">
        <f t="shared" si="8"/>
        <v>86</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INDEX(Schnitt1!M:M,MATCH(L96,Schnitt1!L:L,0))+INDEX(Schnitt2!M:M,MATCH(L96,Schnitt2!L:L,0))</f>
        <v>222</v>
      </c>
      <c r="N96">
        <f>INDEX(Schnitt1!N:N,MATCH(L96,Schnitt1!L:L,0))+INDEX(Schnitt2!N:N,MATCH(L96,Schnitt2!L:L,0))</f>
        <v>2</v>
      </c>
      <c r="O96">
        <f t="shared" si="7"/>
        <v>110.99999990400001</v>
      </c>
      <c r="P96">
        <f t="shared" si="8"/>
        <v>87</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INDEX(Schnitt1!M:M,MATCH(L97,Schnitt1!L:L,0))+INDEX(Schnitt2!M:M,MATCH(L97,Schnitt2!L:L,0))</f>
        <v>222</v>
      </c>
      <c r="N97">
        <f>INDEX(Schnitt1!N:N,MATCH(L97,Schnitt1!L:L,0))+INDEX(Schnitt2!N:N,MATCH(L97,Schnitt2!L:L,0))</f>
        <v>2</v>
      </c>
      <c r="O97">
        <f t="shared" si="7"/>
        <v>110.999999903</v>
      </c>
      <c r="P97">
        <f t="shared" si="8"/>
        <v>88</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INDEX(Schnitt1!M:M,MATCH(L98,Schnitt1!L:L,0))+INDEX(Schnitt2!M:M,MATCH(L98,Schnitt2!L:L,0))</f>
        <v>222</v>
      </c>
      <c r="N98">
        <f>INDEX(Schnitt1!N:N,MATCH(L98,Schnitt1!L:L,0))+INDEX(Schnitt2!N:N,MATCH(L98,Schnitt2!L:L,0))</f>
        <v>2</v>
      </c>
      <c r="O98">
        <f t="shared" si="7"/>
        <v>110.999999902</v>
      </c>
      <c r="P98">
        <f t="shared" si="8"/>
        <v>89</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INDEX(Schnitt1!M:M,MATCH(L99,Schnitt1!L:L,0))+INDEX(Schnitt2!M:M,MATCH(L99,Schnitt2!L:L,0))</f>
        <v>222</v>
      </c>
      <c r="N99">
        <f>INDEX(Schnitt1!N:N,MATCH(L99,Schnitt1!L:L,0))+INDEX(Schnitt2!N:N,MATCH(L99,Schnitt2!L:L,0))</f>
        <v>2</v>
      </c>
      <c r="O99">
        <f t="shared" si="7"/>
        <v>110.999999901</v>
      </c>
      <c r="P99">
        <f t="shared" si="8"/>
        <v>90</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91</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92</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93</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94</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autoPageBreaks="0"/>
  </sheetPr>
  <dimension ref="A1:V86"/>
  <sheetViews>
    <sheetView showGridLines="0"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7" t="s">
        <v>1820</v>
      </c>
      <c r="C2" s="337"/>
      <c r="D2" s="337"/>
      <c r="E2" s="337"/>
      <c r="F2" s="337"/>
      <c r="G2" s="337"/>
      <c r="H2" s="337"/>
      <c r="I2" s="337"/>
      <c r="J2" s="337"/>
      <c r="K2" s="337"/>
      <c r="L2" s="337"/>
      <c r="M2" s="337"/>
      <c r="N2" s="337"/>
      <c r="O2" s="337"/>
      <c r="P2" s="337"/>
      <c r="Q2" s="337"/>
      <c r="R2" s="337"/>
      <c r="S2" s="337"/>
      <c r="T2" s="337"/>
      <c r="U2" s="337"/>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8"/>
      <c r="R4" s="338"/>
      <c r="S4" s="338"/>
      <c r="T4" s="338"/>
      <c r="U4" s="338"/>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9">
        <f>+Spielzettel3!M2</f>
        <v>3</v>
      </c>
      <c r="F6" s="340"/>
      <c r="P6" s="128" t="s">
        <v>1821</v>
      </c>
      <c r="Q6" s="341" t="str">
        <f>+Spielzettel3!L1</f>
        <v>16.02.</v>
      </c>
      <c r="R6" s="342">
        <v>0</v>
      </c>
      <c r="S6" s="342">
        <v>0</v>
      </c>
      <c r="T6" s="343">
        <v>0</v>
      </c>
      <c r="U6" s="61"/>
    </row>
    <row r="7" spans="2:21" x14ac:dyDescent="0.25">
      <c r="B7" s="60"/>
      <c r="C7" s="128"/>
      <c r="D7" s="128"/>
      <c r="U7" s="61"/>
    </row>
    <row r="8" spans="2:21" x14ac:dyDescent="0.25">
      <c r="B8" s="60"/>
      <c r="C8" s="128" t="s">
        <v>1822</v>
      </c>
      <c r="D8" s="128"/>
      <c r="E8" s="344" t="str">
        <f>+Spielzettel3!D2</f>
        <v>Nürnberg West Bowling</v>
      </c>
      <c r="F8" s="345"/>
      <c r="G8" s="345"/>
      <c r="H8" s="345">
        <v>0</v>
      </c>
      <c r="I8" s="345"/>
      <c r="J8" s="346"/>
      <c r="N8" s="128" t="s">
        <v>1823</v>
      </c>
      <c r="P8" s="344" t="str">
        <f>+Spielzettel3!D1</f>
        <v>Landesliga Nord Frauen</v>
      </c>
      <c r="Q8" s="345"/>
      <c r="R8" s="345"/>
      <c r="S8" s="345"/>
      <c r="T8" s="346"/>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1" t="s">
        <v>1824</v>
      </c>
      <c r="D11" s="331"/>
      <c r="E11" s="331"/>
      <c r="F11" s="331"/>
      <c r="G11" s="331"/>
      <c r="H11" s="331"/>
      <c r="I11" s="331"/>
      <c r="J11" s="331"/>
      <c r="K11" s="331"/>
      <c r="L11" s="331"/>
      <c r="M11" s="331"/>
      <c r="N11" s="331"/>
      <c r="O11" s="331"/>
      <c r="P11" s="331"/>
      <c r="Q11" s="331"/>
      <c r="R11" s="331"/>
      <c r="S11" s="331"/>
      <c r="T11" s="331"/>
      <c r="U11" s="131"/>
    </row>
    <row r="12" spans="2:21" ht="21.75" customHeight="1" x14ac:dyDescent="0.25">
      <c r="B12" s="132"/>
      <c r="C12" s="332" t="s">
        <v>1825</v>
      </c>
      <c r="D12" s="332"/>
      <c r="E12" s="332"/>
      <c r="F12" s="332"/>
      <c r="G12" s="332"/>
      <c r="H12" s="332"/>
      <c r="I12" s="332"/>
      <c r="J12" s="332"/>
      <c r="L12" s="146"/>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5"/>
      <c r="D19" s="326"/>
      <c r="E19" s="333"/>
      <c r="F19" s="333"/>
      <c r="G19" s="333"/>
      <c r="H19" s="333"/>
      <c r="I19" s="333"/>
      <c r="J19" s="333"/>
      <c r="K19" s="333"/>
      <c r="L19" s="333"/>
      <c r="M19" s="333"/>
      <c r="N19" s="333"/>
      <c r="O19" s="333"/>
      <c r="P19" s="333"/>
      <c r="Q19" s="333"/>
      <c r="R19" s="333"/>
      <c r="S19" s="333"/>
      <c r="T19" s="334"/>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5" t="s">
        <v>2410</v>
      </c>
      <c r="D24" s="326"/>
      <c r="E24" s="326"/>
      <c r="F24" s="326"/>
      <c r="G24" s="326"/>
      <c r="H24" s="326"/>
      <c r="I24" s="326"/>
      <c r="J24" s="326"/>
      <c r="K24" s="326"/>
      <c r="L24" s="326"/>
      <c r="M24" s="326"/>
      <c r="N24" s="326"/>
      <c r="O24" s="326"/>
      <c r="P24" s="326"/>
      <c r="Q24" s="326"/>
      <c r="R24" s="326"/>
      <c r="S24" s="326"/>
      <c r="T24" s="327"/>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5"/>
      <c r="D29" s="326"/>
      <c r="E29" s="326"/>
      <c r="F29" s="326"/>
      <c r="G29" s="326"/>
      <c r="H29" s="326"/>
      <c r="I29" s="326"/>
      <c r="J29" s="326"/>
      <c r="K29" s="326"/>
      <c r="L29" s="326"/>
      <c r="M29" s="326"/>
      <c r="N29" s="326"/>
      <c r="O29" s="326"/>
      <c r="P29" s="326"/>
      <c r="Q29" s="326"/>
      <c r="R29" s="326"/>
      <c r="S29" s="326"/>
      <c r="T29" s="327"/>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5"/>
      <c r="G35" s="335"/>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5"/>
      <c r="D37" s="326"/>
      <c r="E37" s="326"/>
      <c r="F37" s="326"/>
      <c r="G37" s="326"/>
      <c r="H37" s="326"/>
      <c r="I37" s="326"/>
      <c r="J37" s="326"/>
      <c r="K37" s="326"/>
      <c r="L37" s="326"/>
      <c r="M37" s="326"/>
      <c r="N37" s="326"/>
      <c r="O37" s="326"/>
      <c r="P37" s="326"/>
      <c r="Q37" s="326"/>
      <c r="R37" s="326"/>
      <c r="S37" s="326"/>
      <c r="T37" s="327"/>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6"/>
      <c r="G41" s="336"/>
      <c r="H41" s="336"/>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5"/>
      <c r="D45" s="326"/>
      <c r="E45" s="326"/>
      <c r="F45" s="326"/>
      <c r="G45" s="326"/>
      <c r="H45" s="326"/>
      <c r="I45" s="326"/>
      <c r="J45" s="326"/>
      <c r="K45" s="326"/>
      <c r="L45" s="326"/>
      <c r="M45" s="326"/>
      <c r="N45" s="326"/>
      <c r="O45" s="326"/>
      <c r="P45" s="326"/>
      <c r="Q45" s="326"/>
      <c r="R45" s="326"/>
      <c r="S45" s="326"/>
      <c r="T45" s="327"/>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1" t="s">
        <v>1847</v>
      </c>
      <c r="D48" s="331"/>
      <c r="E48" s="331"/>
      <c r="F48" s="331"/>
      <c r="G48" s="331"/>
      <c r="H48" s="331"/>
      <c r="I48" s="331"/>
      <c r="J48" s="331"/>
      <c r="K48" s="331"/>
      <c r="L48" s="331"/>
      <c r="M48" s="331"/>
      <c r="N48" s="331"/>
      <c r="O48" s="331"/>
      <c r="P48" s="331"/>
      <c r="Q48" s="331"/>
      <c r="R48" s="331"/>
      <c r="S48" s="331"/>
      <c r="T48" s="331"/>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5"/>
      <c r="D52" s="326"/>
      <c r="E52" s="326"/>
      <c r="F52" s="326"/>
      <c r="G52" s="326"/>
      <c r="H52" s="326"/>
      <c r="I52" s="326"/>
      <c r="J52" s="326"/>
      <c r="K52" s="326"/>
      <c r="L52" s="326"/>
      <c r="M52" s="326"/>
      <c r="N52" s="326"/>
      <c r="O52" s="326"/>
      <c r="P52" s="326"/>
      <c r="Q52" s="326"/>
      <c r="R52" s="326"/>
      <c r="S52" s="326"/>
      <c r="T52" s="327"/>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5"/>
      <c r="D56" s="326"/>
      <c r="E56" s="326"/>
      <c r="F56" s="326"/>
      <c r="G56" s="326"/>
      <c r="H56" s="326"/>
      <c r="I56" s="326"/>
      <c r="J56" s="326"/>
      <c r="K56" s="326"/>
      <c r="L56" s="326"/>
      <c r="M56" s="326"/>
      <c r="N56" s="326"/>
      <c r="O56" s="326"/>
      <c r="P56" s="326"/>
      <c r="Q56" s="326"/>
      <c r="R56" s="326"/>
      <c r="S56" s="326"/>
      <c r="T56" s="327"/>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5"/>
      <c r="D60" s="326"/>
      <c r="E60" s="326"/>
      <c r="F60" s="326"/>
      <c r="G60" s="326"/>
      <c r="H60" s="326"/>
      <c r="I60" s="326"/>
      <c r="J60" s="326"/>
      <c r="K60" s="326"/>
      <c r="L60" s="326"/>
      <c r="M60" s="326"/>
      <c r="N60" s="326"/>
      <c r="O60" s="326"/>
      <c r="P60" s="326"/>
      <c r="Q60" s="326"/>
      <c r="R60" s="326"/>
      <c r="S60" s="326"/>
      <c r="T60" s="327"/>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5"/>
      <c r="D64" s="326"/>
      <c r="E64" s="326"/>
      <c r="F64" s="326"/>
      <c r="G64" s="326"/>
      <c r="H64" s="326"/>
      <c r="I64" s="326"/>
      <c r="J64" s="326"/>
      <c r="K64" s="326"/>
      <c r="L64" s="326"/>
      <c r="M64" s="326"/>
      <c r="N64" s="326"/>
      <c r="O64" s="326"/>
      <c r="P64" s="326"/>
      <c r="Q64" s="326"/>
      <c r="R64" s="326"/>
      <c r="S64" s="326"/>
      <c r="T64" s="327"/>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5"/>
      <c r="D68" s="326"/>
      <c r="E68" s="326"/>
      <c r="F68" s="326"/>
      <c r="G68" s="326"/>
      <c r="H68" s="326"/>
      <c r="I68" s="326"/>
      <c r="J68" s="326"/>
      <c r="K68" s="326"/>
      <c r="L68" s="326"/>
      <c r="M68" s="326"/>
      <c r="N68" s="326"/>
      <c r="O68" s="326"/>
      <c r="P68" s="326"/>
      <c r="Q68" s="326"/>
      <c r="R68" s="326"/>
      <c r="S68" s="326"/>
      <c r="T68" s="327"/>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5"/>
      <c r="D72" s="326"/>
      <c r="E72" s="326"/>
      <c r="F72" s="326"/>
      <c r="G72" s="326"/>
      <c r="H72" s="326"/>
      <c r="I72" s="326"/>
      <c r="J72" s="326"/>
      <c r="K72" s="326"/>
      <c r="L72" s="326"/>
      <c r="M72" s="326"/>
      <c r="N72" s="326"/>
      <c r="O72" s="326"/>
      <c r="P72" s="326"/>
      <c r="Q72" s="326"/>
      <c r="R72" s="326"/>
      <c r="S72" s="326"/>
      <c r="T72" s="327"/>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8"/>
      <c r="D79" s="329"/>
      <c r="E79" s="329"/>
      <c r="F79" s="329"/>
      <c r="G79" s="329"/>
      <c r="H79" s="329"/>
      <c r="I79" s="329"/>
      <c r="J79" s="329"/>
      <c r="K79" s="329"/>
      <c r="L79" s="329"/>
      <c r="M79" s="329"/>
      <c r="N79" s="329"/>
      <c r="O79" s="329"/>
      <c r="P79" s="329"/>
      <c r="Q79" s="329"/>
      <c r="R79" s="329"/>
      <c r="S79" s="329"/>
      <c r="T79" s="330"/>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98" t="s">
        <v>2411</v>
      </c>
      <c r="E82" s="324"/>
      <c r="F82" s="324"/>
      <c r="G82" s="324"/>
      <c r="H82" s="324"/>
      <c r="I82" s="324"/>
      <c r="J82" s="324"/>
      <c r="K82" s="324"/>
      <c r="L82" s="324"/>
      <c r="M82" s="324"/>
      <c r="P82" s="324"/>
      <c r="Q82" s="324"/>
      <c r="R82" s="324"/>
      <c r="S82" s="324"/>
      <c r="T82" s="324"/>
      <c r="U82" s="324"/>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4"/>
      <c r="E85" s="324"/>
      <c r="F85" s="324"/>
      <c r="G85" s="324"/>
      <c r="H85" s="324"/>
      <c r="I85" s="324"/>
      <c r="J85" s="324"/>
      <c r="K85" s="324"/>
      <c r="L85" s="324"/>
      <c r="M85" s="324"/>
      <c r="P85" s="324"/>
      <c r="Q85" s="324"/>
      <c r="R85" s="324"/>
      <c r="S85" s="324"/>
      <c r="T85" s="324"/>
      <c r="U85" s="324"/>
    </row>
    <row r="86" spans="1:21" x14ac:dyDescent="0.25">
      <c r="C86" s="158"/>
      <c r="D86" s="49" t="s">
        <v>1856</v>
      </c>
      <c r="P86" s="159" t="s">
        <v>1857</v>
      </c>
    </row>
  </sheetData>
  <sheetProtection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87"/>
  <sheetViews>
    <sheetView view="pageBreakPreview" zoomScaleNormal="100" zoomScaleSheetLayoutView="100" workbookViewId="0">
      <selection activeCell="F76" sqref="F7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2" t="str">
        <f>Schlüssel!$BA$1</f>
        <v>16.02.</v>
      </c>
      <c r="M1" s="362"/>
      <c r="N1" s="362"/>
      <c r="O1" s="362"/>
      <c r="P1" s="362"/>
      <c r="AE1" s="90" t="s">
        <v>1809</v>
      </c>
    </row>
    <row r="2" spans="1:31" ht="17.25" customHeight="1" thickBot="1" x14ac:dyDescent="0.35">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5">
      <c r="B5" s="40" t="s">
        <v>1</v>
      </c>
      <c r="C5" s="41"/>
      <c r="D5" s="363" t="s">
        <v>1789</v>
      </c>
      <c r="E5" s="364"/>
      <c r="F5" s="363" t="s">
        <v>1790</v>
      </c>
      <c r="G5" s="364"/>
      <c r="H5" s="363" t="s">
        <v>1791</v>
      </c>
      <c r="I5" s="364"/>
      <c r="J5" s="363" t="s">
        <v>1792</v>
      </c>
      <c r="K5" s="364"/>
      <c r="L5" s="363" t="s">
        <v>1793</v>
      </c>
      <c r="M5" s="364"/>
      <c r="N5" s="363" t="s">
        <v>2088</v>
      </c>
      <c r="O5" s="364"/>
      <c r="P5" s="365" t="s">
        <v>1788</v>
      </c>
      <c r="Q5" s="36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9" t="s">
        <v>0</v>
      </c>
      <c r="B7" s="17"/>
      <c r="C7" s="18"/>
      <c r="D7" s="14"/>
      <c r="E7" s="356"/>
      <c r="F7" s="14"/>
      <c r="G7" s="356"/>
      <c r="H7" s="14"/>
      <c r="I7" s="356"/>
      <c r="J7" s="14"/>
      <c r="K7" s="356"/>
      <c r="L7" s="14"/>
      <c r="M7" s="356"/>
      <c r="N7" s="14"/>
      <c r="O7" s="356"/>
      <c r="P7" s="14"/>
      <c r="Q7" s="356"/>
    </row>
    <row r="8" spans="1:31" ht="17.100000000000001" customHeight="1" x14ac:dyDescent="0.25">
      <c r="A8" s="360"/>
      <c r="B8" s="19"/>
      <c r="C8" s="20"/>
      <c r="D8" s="15"/>
      <c r="E8" s="357"/>
      <c r="F8" s="15"/>
      <c r="G8" s="357"/>
      <c r="H8" s="15"/>
      <c r="I8" s="357"/>
      <c r="J8" s="15"/>
      <c r="K8" s="357"/>
      <c r="L8" s="15"/>
      <c r="M8" s="357"/>
      <c r="N8" s="15"/>
      <c r="O8" s="357"/>
      <c r="P8" s="15"/>
      <c r="Q8" s="357"/>
    </row>
    <row r="9" spans="1:31" ht="17.100000000000001" customHeight="1" thickBot="1" x14ac:dyDescent="0.3">
      <c r="A9" s="361"/>
      <c r="B9" s="21"/>
      <c r="C9" s="22"/>
      <c r="D9" s="9"/>
      <c r="E9" s="358"/>
      <c r="F9" s="9"/>
      <c r="G9" s="358"/>
      <c r="H9" s="9"/>
      <c r="I9" s="358"/>
      <c r="J9" s="9"/>
      <c r="K9" s="358"/>
      <c r="L9" s="9"/>
      <c r="M9" s="358"/>
      <c r="N9" s="9"/>
      <c r="O9" s="358"/>
      <c r="P9" s="9"/>
      <c r="Q9" s="358"/>
    </row>
    <row r="10" spans="1:31" ht="17.100000000000001" customHeight="1" x14ac:dyDescent="0.25">
      <c r="A10" s="359" t="s">
        <v>2</v>
      </c>
      <c r="B10" s="17"/>
      <c r="C10" s="18"/>
      <c r="D10" s="14"/>
      <c r="E10" s="356"/>
      <c r="F10" s="14"/>
      <c r="G10" s="356"/>
      <c r="H10" s="14"/>
      <c r="I10" s="356"/>
      <c r="J10" s="14"/>
      <c r="K10" s="356"/>
      <c r="L10" s="14"/>
      <c r="M10" s="356"/>
      <c r="N10" s="14"/>
      <c r="O10" s="356"/>
      <c r="P10" s="14"/>
      <c r="Q10" s="356"/>
    </row>
    <row r="11" spans="1:31" ht="17.100000000000001" customHeight="1" x14ac:dyDescent="0.25">
      <c r="A11" s="360"/>
      <c r="B11" s="19"/>
      <c r="C11" s="20"/>
      <c r="D11" s="15"/>
      <c r="E11" s="357"/>
      <c r="F11" s="15"/>
      <c r="G11" s="357"/>
      <c r="H11" s="15"/>
      <c r="I11" s="357"/>
      <c r="J11" s="15"/>
      <c r="K11" s="357"/>
      <c r="L11" s="15"/>
      <c r="M11" s="357"/>
      <c r="N11" s="15"/>
      <c r="O11" s="357"/>
      <c r="P11" s="15"/>
      <c r="Q11" s="357"/>
    </row>
    <row r="12" spans="1:31" ht="17.100000000000001" customHeight="1" thickBot="1" x14ac:dyDescent="0.3">
      <c r="A12" s="361"/>
      <c r="B12" s="21"/>
      <c r="C12" s="22"/>
      <c r="D12" s="9"/>
      <c r="E12" s="358"/>
      <c r="F12" s="9"/>
      <c r="G12" s="358"/>
      <c r="H12" s="9"/>
      <c r="I12" s="358"/>
      <c r="J12" s="9"/>
      <c r="K12" s="358"/>
      <c r="L12" s="9"/>
      <c r="M12" s="358"/>
      <c r="N12" s="9"/>
      <c r="O12" s="358"/>
      <c r="P12" s="9"/>
      <c r="Q12" s="358"/>
    </row>
    <row r="13" spans="1:31" ht="17.100000000000001" customHeight="1" x14ac:dyDescent="0.25">
      <c r="A13" s="359" t="s">
        <v>3</v>
      </c>
      <c r="B13" s="17"/>
      <c r="C13" s="18"/>
      <c r="D13" s="14"/>
      <c r="E13" s="356"/>
      <c r="F13" s="14"/>
      <c r="G13" s="356"/>
      <c r="H13" s="14"/>
      <c r="I13" s="356"/>
      <c r="J13" s="14"/>
      <c r="K13" s="356"/>
      <c r="L13" s="14"/>
      <c r="M13" s="356"/>
      <c r="N13" s="14"/>
      <c r="O13" s="356"/>
      <c r="P13" s="14"/>
      <c r="Q13" s="356"/>
    </row>
    <row r="14" spans="1:31" ht="17.100000000000001" customHeight="1" x14ac:dyDescent="0.25">
      <c r="A14" s="360"/>
      <c r="B14" s="19"/>
      <c r="C14" s="20"/>
      <c r="D14" s="15"/>
      <c r="E14" s="357"/>
      <c r="F14" s="15"/>
      <c r="G14" s="357"/>
      <c r="H14" s="15"/>
      <c r="I14" s="357"/>
      <c r="J14" s="15"/>
      <c r="K14" s="357"/>
      <c r="L14" s="15"/>
      <c r="M14" s="357"/>
      <c r="N14" s="15"/>
      <c r="O14" s="357"/>
      <c r="P14" s="15"/>
      <c r="Q14" s="357"/>
    </row>
    <row r="15" spans="1:31" ht="17.100000000000001" customHeight="1" thickBot="1" x14ac:dyDescent="0.3">
      <c r="A15" s="361"/>
      <c r="B15" s="21"/>
      <c r="C15" s="22"/>
      <c r="D15" s="9"/>
      <c r="E15" s="358"/>
      <c r="F15" s="9"/>
      <c r="G15" s="358"/>
      <c r="H15" s="9"/>
      <c r="I15" s="358"/>
      <c r="J15" s="9"/>
      <c r="K15" s="358"/>
      <c r="L15" s="9"/>
      <c r="M15" s="358"/>
      <c r="N15" s="9"/>
      <c r="O15" s="358"/>
      <c r="P15" s="9"/>
      <c r="Q15" s="358"/>
    </row>
    <row r="16" spans="1:31" ht="17.100000000000001" customHeight="1" x14ac:dyDescent="0.25">
      <c r="A16" s="359" t="s">
        <v>11</v>
      </c>
      <c r="B16" s="17"/>
      <c r="C16" s="18"/>
      <c r="D16" s="14"/>
      <c r="E16" s="356"/>
      <c r="F16" s="14"/>
      <c r="G16" s="356"/>
      <c r="H16" s="14"/>
      <c r="I16" s="356"/>
      <c r="J16" s="14"/>
      <c r="K16" s="356"/>
      <c r="L16" s="14"/>
      <c r="M16" s="356"/>
      <c r="N16" s="14"/>
      <c r="O16" s="356"/>
      <c r="P16" s="14"/>
      <c r="Q16" s="356"/>
    </row>
    <row r="17" spans="1:31" ht="17.100000000000001" customHeight="1" x14ac:dyDescent="0.25">
      <c r="A17" s="360"/>
      <c r="B17" s="19"/>
      <c r="C17" s="20"/>
      <c r="D17" s="15"/>
      <c r="E17" s="357"/>
      <c r="F17" s="15"/>
      <c r="G17" s="357"/>
      <c r="H17" s="15"/>
      <c r="I17" s="357"/>
      <c r="J17" s="15"/>
      <c r="K17" s="357"/>
      <c r="L17" s="15"/>
      <c r="M17" s="357"/>
      <c r="N17" s="15"/>
      <c r="O17" s="357"/>
      <c r="P17" s="15"/>
      <c r="Q17" s="357"/>
    </row>
    <row r="18" spans="1:31" ht="17.100000000000001" customHeight="1" thickBot="1" x14ac:dyDescent="0.3">
      <c r="A18" s="361"/>
      <c r="B18" s="21"/>
      <c r="C18" s="22"/>
      <c r="D18" s="9"/>
      <c r="E18" s="358"/>
      <c r="F18" s="9"/>
      <c r="G18" s="358"/>
      <c r="H18" s="9"/>
      <c r="I18" s="358"/>
      <c r="J18" s="9"/>
      <c r="K18" s="358"/>
      <c r="L18" s="9"/>
      <c r="M18" s="358"/>
      <c r="N18" s="9"/>
      <c r="O18" s="358"/>
      <c r="P18" s="9"/>
      <c r="Q18" s="358"/>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4">
        <f>VLOOKUP(B2,Schlüssel!$A$5:$DF$10,43)</f>
        <v>3</v>
      </c>
      <c r="E22" s="354"/>
      <c r="F22" s="354">
        <f>VLOOKUP(B2,Schlüssel!$A$5:$DF$10,44)</f>
        <v>3</v>
      </c>
      <c r="G22" s="354"/>
      <c r="H22" s="354">
        <f>VLOOKUP(B2,Schlüssel!$A$5:$DF$10,45)</f>
        <v>3</v>
      </c>
      <c r="I22" s="354"/>
      <c r="J22" s="354">
        <f>VLOOKUP(B2,Schlüssel!$A$5:$DF$10,46)</f>
        <v>3</v>
      </c>
      <c r="K22" s="354"/>
      <c r="L22" s="354">
        <f>VLOOKUP(B2,Schlüssel!$A$5:$DF$10,47)</f>
        <v>3</v>
      </c>
      <c r="M22" s="354"/>
      <c r="N22" s="354">
        <f>VLOOKUP(B2,Schlüssel!$A$5:$DF$10,48)</f>
        <v>3</v>
      </c>
      <c r="O22" s="354"/>
      <c r="P22" s="355"/>
      <c r="Q22" s="355"/>
    </row>
    <row r="23" spans="1:31" ht="28.5" customHeight="1" x14ac:dyDescent="0.25">
      <c r="B23" s="4"/>
      <c r="C23" s="1"/>
      <c r="D23" s="351" t="str">
        <f>VLOOKUP(D22,Schlüssel!$A$5:$K$10,2)</f>
        <v>Mainauenbowler Bayreuth Land</v>
      </c>
      <c r="E23" s="352"/>
      <c r="F23" s="351" t="str">
        <f>VLOOKUP(F22,Schlüssel!$A$5:$K$10,2)</f>
        <v>Mainauenbowler Bayreuth Land</v>
      </c>
      <c r="G23" s="352"/>
      <c r="H23" s="351" t="str">
        <f>VLOOKUP(H22,Schlüssel!$A$5:$K$10,2)</f>
        <v>Mainauenbowler Bayreuth Land</v>
      </c>
      <c r="I23" s="352"/>
      <c r="J23" s="351" t="str">
        <f>VLOOKUP(J22,Schlüssel!$A$5:$K$10,2)</f>
        <v>Mainauenbowler Bayreuth Land</v>
      </c>
      <c r="K23" s="352"/>
      <c r="L23" s="351" t="str">
        <f>VLOOKUP(L22,Schlüssel!$A$5:$K$10,2)</f>
        <v>Mainauenbowler Bayreuth Land</v>
      </c>
      <c r="M23" s="352"/>
      <c r="N23" s="351" t="str">
        <f>VLOOKUP(N22,Schlüssel!$A$5:$K$10,2)</f>
        <v>Mainauenbowler Bayreuth Land</v>
      </c>
      <c r="O23" s="352"/>
      <c r="P23" s="353"/>
      <c r="Q23" s="353"/>
    </row>
    <row r="24" spans="1:31" ht="12" customHeight="1" x14ac:dyDescent="0.25">
      <c r="B24" s="4"/>
      <c r="C24" s="1"/>
      <c r="D24" s="350"/>
      <c r="E24" s="350"/>
      <c r="F24" s="350"/>
      <c r="G24" s="350"/>
      <c r="H24" s="350"/>
      <c r="I24" s="350"/>
      <c r="J24" s="350"/>
      <c r="K24" s="350"/>
      <c r="L24" s="350"/>
      <c r="M24" s="350"/>
      <c r="N24" s="350"/>
      <c r="O24" s="350"/>
      <c r="P24" s="307"/>
      <c r="Q24" s="307"/>
    </row>
    <row r="25" spans="1:31" ht="15.9" customHeight="1" x14ac:dyDescent="0.25">
      <c r="B25" s="35" t="s">
        <v>0</v>
      </c>
      <c r="C25" s="36"/>
      <c r="D25" s="348"/>
      <c r="E25" s="348"/>
      <c r="F25" s="348"/>
      <c r="G25" s="348"/>
      <c r="H25" s="348"/>
      <c r="I25" s="348"/>
      <c r="J25" s="348"/>
      <c r="K25" s="348"/>
      <c r="L25" s="348"/>
      <c r="M25" s="348"/>
      <c r="N25" s="348"/>
      <c r="O25" s="348"/>
      <c r="P25" s="349"/>
      <c r="Q25" s="349"/>
    </row>
    <row r="26" spans="1:31" ht="15.9" customHeight="1" x14ac:dyDescent="0.25">
      <c r="B26" s="35" t="s">
        <v>2</v>
      </c>
      <c r="C26" s="36"/>
      <c r="D26" s="348"/>
      <c r="E26" s="348"/>
      <c r="F26" s="348"/>
      <c r="G26" s="348"/>
      <c r="H26" s="348"/>
      <c r="I26" s="348"/>
      <c r="J26" s="348"/>
      <c r="K26" s="348"/>
      <c r="L26" s="348"/>
      <c r="M26" s="348"/>
      <c r="N26" s="348"/>
      <c r="O26" s="348"/>
      <c r="P26" s="349"/>
      <c r="Q26" s="349"/>
    </row>
    <row r="27" spans="1:31" ht="15.9" customHeight="1" x14ac:dyDescent="0.25">
      <c r="B27" s="35" t="s">
        <v>3</v>
      </c>
      <c r="C27" s="36"/>
      <c r="D27" s="348"/>
      <c r="E27" s="348"/>
      <c r="F27" s="348"/>
      <c r="G27" s="348"/>
      <c r="H27" s="348"/>
      <c r="I27" s="348"/>
      <c r="J27" s="348"/>
      <c r="K27" s="348"/>
      <c r="L27" s="348"/>
      <c r="M27" s="348"/>
      <c r="N27" s="348"/>
      <c r="O27" s="348"/>
      <c r="P27" s="349"/>
      <c r="Q27" s="349"/>
    </row>
    <row r="28" spans="1:31" ht="15.9" customHeight="1" x14ac:dyDescent="0.25">
      <c r="B28" s="35" t="s">
        <v>11</v>
      </c>
      <c r="C28" s="36"/>
      <c r="D28" s="348"/>
      <c r="E28" s="348"/>
      <c r="F28" s="348"/>
      <c r="G28" s="348"/>
      <c r="H28" s="348"/>
      <c r="I28" s="348"/>
      <c r="J28" s="348"/>
      <c r="K28" s="348"/>
      <c r="L28" s="348"/>
      <c r="M28" s="348"/>
      <c r="N28" s="348"/>
      <c r="O28" s="348"/>
      <c r="P28" s="349"/>
      <c r="Q28" s="349"/>
    </row>
    <row r="29" spans="1:31" ht="15.9" customHeight="1" x14ac:dyDescent="0.25">
      <c r="B29" s="37" t="s">
        <v>1788</v>
      </c>
      <c r="C29" s="38"/>
      <c r="D29" s="347"/>
      <c r="E29" s="347"/>
      <c r="F29" s="347"/>
      <c r="G29" s="347"/>
      <c r="H29" s="347"/>
      <c r="I29" s="347"/>
      <c r="J29" s="347"/>
      <c r="K29" s="347"/>
      <c r="L29" s="347"/>
      <c r="M29" s="347"/>
      <c r="N29" s="347"/>
      <c r="O29" s="347"/>
      <c r="P29" s="312"/>
      <c r="Q29" s="312"/>
    </row>
    <row r="30" spans="1:31" ht="21" customHeight="1" x14ac:dyDescent="0.4">
      <c r="B30" s="7" t="s">
        <v>1798</v>
      </c>
      <c r="C30" s="30" t="s">
        <v>1782</v>
      </c>
      <c r="D30" s="76" t="str">
        <f>Schlüssel!$C$1</f>
        <v>Landesliga Nord Frauen</v>
      </c>
      <c r="F30" s="25"/>
      <c r="G30" s="25"/>
      <c r="H30" s="25"/>
      <c r="I30" s="25"/>
      <c r="K30" s="29"/>
      <c r="L30" s="362" t="str">
        <f>Schlüssel!$BA$1</f>
        <v>16.02.</v>
      </c>
      <c r="M30" s="362"/>
      <c r="N30" s="362"/>
      <c r="O30" s="362"/>
      <c r="P30" s="362"/>
      <c r="AE30" s="90"/>
    </row>
    <row r="31" spans="1:31" ht="17.25" customHeight="1" thickBot="1" x14ac:dyDescent="0.35">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5">
      <c r="B34" s="40" t="s">
        <v>1</v>
      </c>
      <c r="C34" s="41"/>
      <c r="D34" s="363" t="s">
        <v>1789</v>
      </c>
      <c r="E34" s="364"/>
      <c r="F34" s="363" t="s">
        <v>1790</v>
      </c>
      <c r="G34" s="364"/>
      <c r="H34" s="363" t="s">
        <v>1791</v>
      </c>
      <c r="I34" s="364"/>
      <c r="J34" s="363" t="s">
        <v>1792</v>
      </c>
      <c r="K34" s="364"/>
      <c r="L34" s="363" t="s">
        <v>1793</v>
      </c>
      <c r="M34" s="364"/>
      <c r="N34" s="363" t="s">
        <v>2088</v>
      </c>
      <c r="O34" s="364"/>
      <c r="P34" s="365" t="s">
        <v>1788</v>
      </c>
      <c r="Q34" s="36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9" t="s">
        <v>0</v>
      </c>
      <c r="B36" s="17"/>
      <c r="C36" s="18"/>
      <c r="D36" s="14"/>
      <c r="E36" s="356"/>
      <c r="F36" s="14"/>
      <c r="G36" s="356"/>
      <c r="H36" s="14"/>
      <c r="I36" s="356"/>
      <c r="J36" s="14"/>
      <c r="K36" s="356"/>
      <c r="L36" s="14"/>
      <c r="M36" s="356"/>
      <c r="N36" s="14"/>
      <c r="O36" s="356"/>
      <c r="P36" s="14"/>
      <c r="Q36" s="356"/>
    </row>
    <row r="37" spans="1:17" ht="17.100000000000001" customHeight="1" x14ac:dyDescent="0.25">
      <c r="A37" s="360"/>
      <c r="B37" s="19"/>
      <c r="C37" s="20"/>
      <c r="D37" s="15"/>
      <c r="E37" s="357"/>
      <c r="F37" s="15"/>
      <c r="G37" s="357"/>
      <c r="H37" s="15"/>
      <c r="I37" s="357"/>
      <c r="J37" s="15"/>
      <c r="K37" s="357"/>
      <c r="L37" s="15"/>
      <c r="M37" s="357"/>
      <c r="N37" s="15"/>
      <c r="O37" s="357"/>
      <c r="P37" s="15"/>
      <c r="Q37" s="357"/>
    </row>
    <row r="38" spans="1:17" ht="17.100000000000001" customHeight="1" thickBot="1" x14ac:dyDescent="0.3">
      <c r="A38" s="361"/>
      <c r="B38" s="21"/>
      <c r="C38" s="22"/>
      <c r="D38" s="9"/>
      <c r="E38" s="358"/>
      <c r="F38" s="9"/>
      <c r="G38" s="358"/>
      <c r="H38" s="9"/>
      <c r="I38" s="358"/>
      <c r="J38" s="9"/>
      <c r="K38" s="358"/>
      <c r="L38" s="9"/>
      <c r="M38" s="358"/>
      <c r="N38" s="9"/>
      <c r="O38" s="358"/>
      <c r="P38" s="9"/>
      <c r="Q38" s="358"/>
    </row>
    <row r="39" spans="1:17" ht="17.100000000000001" customHeight="1" x14ac:dyDescent="0.25">
      <c r="A39" s="359" t="s">
        <v>2</v>
      </c>
      <c r="B39" s="17"/>
      <c r="C39" s="18"/>
      <c r="D39" s="14"/>
      <c r="E39" s="356"/>
      <c r="F39" s="14"/>
      <c r="G39" s="356"/>
      <c r="H39" s="14"/>
      <c r="I39" s="356"/>
      <c r="J39" s="14"/>
      <c r="K39" s="356"/>
      <c r="L39" s="14"/>
      <c r="M39" s="356"/>
      <c r="N39" s="14"/>
      <c r="O39" s="356"/>
      <c r="P39" s="14"/>
      <c r="Q39" s="356"/>
    </row>
    <row r="40" spans="1:17" ht="17.100000000000001" customHeight="1" x14ac:dyDescent="0.25">
      <c r="A40" s="360"/>
      <c r="B40" s="19"/>
      <c r="C40" s="20"/>
      <c r="D40" s="15"/>
      <c r="E40" s="357"/>
      <c r="F40" s="15"/>
      <c r="G40" s="357"/>
      <c r="H40" s="15"/>
      <c r="I40" s="357"/>
      <c r="J40" s="15"/>
      <c r="K40" s="357"/>
      <c r="L40" s="15"/>
      <c r="M40" s="357"/>
      <c r="N40" s="15"/>
      <c r="O40" s="357"/>
      <c r="P40" s="15"/>
      <c r="Q40" s="357"/>
    </row>
    <row r="41" spans="1:17" ht="17.100000000000001" customHeight="1" thickBot="1" x14ac:dyDescent="0.3">
      <c r="A41" s="361"/>
      <c r="B41" s="21"/>
      <c r="C41" s="22"/>
      <c r="D41" s="9"/>
      <c r="E41" s="358"/>
      <c r="F41" s="9"/>
      <c r="G41" s="358"/>
      <c r="H41" s="9"/>
      <c r="I41" s="358"/>
      <c r="J41" s="9"/>
      <c r="K41" s="358"/>
      <c r="L41" s="9"/>
      <c r="M41" s="358"/>
      <c r="N41" s="9"/>
      <c r="O41" s="358"/>
      <c r="P41" s="9"/>
      <c r="Q41" s="358"/>
    </row>
    <row r="42" spans="1:17" ht="17.100000000000001" customHeight="1" x14ac:dyDescent="0.25">
      <c r="A42" s="359" t="s">
        <v>3</v>
      </c>
      <c r="B42" s="17"/>
      <c r="C42" s="18"/>
      <c r="D42" s="14"/>
      <c r="E42" s="356"/>
      <c r="F42" s="14"/>
      <c r="G42" s="356"/>
      <c r="H42" s="14"/>
      <c r="I42" s="356"/>
      <c r="J42" s="14"/>
      <c r="K42" s="356"/>
      <c r="L42" s="14"/>
      <c r="M42" s="356"/>
      <c r="N42" s="14"/>
      <c r="O42" s="356"/>
      <c r="P42" s="14"/>
      <c r="Q42" s="356"/>
    </row>
    <row r="43" spans="1:17" ht="17.100000000000001" customHeight="1" x14ac:dyDescent="0.25">
      <c r="A43" s="360"/>
      <c r="B43" s="19"/>
      <c r="C43" s="20"/>
      <c r="D43" s="15"/>
      <c r="E43" s="357"/>
      <c r="F43" s="15"/>
      <c r="G43" s="357"/>
      <c r="H43" s="15"/>
      <c r="I43" s="357"/>
      <c r="J43" s="15"/>
      <c r="K43" s="357"/>
      <c r="L43" s="15"/>
      <c r="M43" s="357"/>
      <c r="N43" s="15"/>
      <c r="O43" s="357"/>
      <c r="P43" s="15"/>
      <c r="Q43" s="357"/>
    </row>
    <row r="44" spans="1:17" ht="17.100000000000001" customHeight="1" thickBot="1" x14ac:dyDescent="0.3">
      <c r="A44" s="361"/>
      <c r="B44" s="21"/>
      <c r="C44" s="22"/>
      <c r="D44" s="9"/>
      <c r="E44" s="358"/>
      <c r="F44" s="9"/>
      <c r="G44" s="358"/>
      <c r="H44" s="9"/>
      <c r="I44" s="358"/>
      <c r="J44" s="9"/>
      <c r="K44" s="358"/>
      <c r="L44" s="9"/>
      <c r="M44" s="358"/>
      <c r="N44" s="9"/>
      <c r="O44" s="358"/>
      <c r="P44" s="9"/>
      <c r="Q44" s="358"/>
    </row>
    <row r="45" spans="1:17" ht="17.100000000000001" customHeight="1" x14ac:dyDescent="0.25">
      <c r="A45" s="359" t="s">
        <v>11</v>
      </c>
      <c r="B45" s="17"/>
      <c r="C45" s="18"/>
      <c r="D45" s="14"/>
      <c r="E45" s="356"/>
      <c r="F45" s="14"/>
      <c r="G45" s="356"/>
      <c r="H45" s="14"/>
      <c r="I45" s="356"/>
      <c r="J45" s="14"/>
      <c r="K45" s="356"/>
      <c r="L45" s="14"/>
      <c r="M45" s="356"/>
      <c r="N45" s="14"/>
      <c r="O45" s="356"/>
      <c r="P45" s="14"/>
      <c r="Q45" s="356"/>
    </row>
    <row r="46" spans="1:17" ht="17.100000000000001" customHeight="1" x14ac:dyDescent="0.25">
      <c r="A46" s="360"/>
      <c r="B46" s="19"/>
      <c r="C46" s="20"/>
      <c r="D46" s="15"/>
      <c r="E46" s="357"/>
      <c r="F46" s="15"/>
      <c r="G46" s="357"/>
      <c r="H46" s="15"/>
      <c r="I46" s="357"/>
      <c r="J46" s="15"/>
      <c r="K46" s="357"/>
      <c r="L46" s="15"/>
      <c r="M46" s="357"/>
      <c r="N46" s="15"/>
      <c r="O46" s="357"/>
      <c r="P46" s="15"/>
      <c r="Q46" s="357"/>
    </row>
    <row r="47" spans="1:17" ht="17.100000000000001" customHeight="1" thickBot="1" x14ac:dyDescent="0.3">
      <c r="A47" s="361"/>
      <c r="B47" s="21"/>
      <c r="C47" s="22"/>
      <c r="D47" s="9"/>
      <c r="E47" s="358"/>
      <c r="F47" s="9"/>
      <c r="G47" s="358"/>
      <c r="H47" s="9"/>
      <c r="I47" s="358"/>
      <c r="J47" s="9"/>
      <c r="K47" s="358"/>
      <c r="L47" s="9"/>
      <c r="M47" s="358"/>
      <c r="N47" s="9"/>
      <c r="O47" s="358"/>
      <c r="P47" s="9"/>
      <c r="Q47" s="358"/>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4">
        <f>VLOOKUP(B31,Schlüssel!$A$5:$DF$10,43)</f>
        <v>0</v>
      </c>
      <c r="E51" s="354"/>
      <c r="F51" s="354">
        <f>VLOOKUP(B31,Schlüssel!$A$5:$DF$10,44)</f>
        <v>0</v>
      </c>
      <c r="G51" s="354"/>
      <c r="H51" s="354">
        <f>VLOOKUP(B31,Schlüssel!$A$5:$DF$10,45)</f>
        <v>0</v>
      </c>
      <c r="I51" s="354"/>
      <c r="J51" s="354">
        <f>VLOOKUP(B31,Schlüssel!$A$5:$DF$10,46)</f>
        <v>0</v>
      </c>
      <c r="K51" s="354"/>
      <c r="L51" s="354">
        <f>VLOOKUP(B31,Schlüssel!$A$5:$DF$10,47)</f>
        <v>0</v>
      </c>
      <c r="M51" s="354"/>
      <c r="N51" s="354">
        <f>VLOOKUP(B31,Schlüssel!$A$5:$DF$10,48)</f>
        <v>0</v>
      </c>
      <c r="O51" s="354"/>
      <c r="P51" s="355"/>
      <c r="Q51" s="355"/>
    </row>
    <row r="52" spans="1:31" ht="28.5" customHeight="1" x14ac:dyDescent="0.25">
      <c r="B52" s="4"/>
      <c r="C52" s="1"/>
      <c r="D52" s="351" t="e">
        <f>VLOOKUP(D51,Schlüssel!$A$5:$K$10,2)</f>
        <v>#N/A</v>
      </c>
      <c r="E52" s="352"/>
      <c r="F52" s="351" t="e">
        <f>VLOOKUP(F51,Schlüssel!$A$5:$K$10,2)</f>
        <v>#N/A</v>
      </c>
      <c r="G52" s="352"/>
      <c r="H52" s="351" t="e">
        <f>VLOOKUP(H51,Schlüssel!$A$5:$K$10,2)</f>
        <v>#N/A</v>
      </c>
      <c r="I52" s="352"/>
      <c r="J52" s="351" t="e">
        <f>VLOOKUP(J51,Schlüssel!$A$5:$K$10,2)</f>
        <v>#N/A</v>
      </c>
      <c r="K52" s="352"/>
      <c r="L52" s="351" t="e">
        <f>VLOOKUP(L51,Schlüssel!$A$5:$K$10,2)</f>
        <v>#N/A</v>
      </c>
      <c r="M52" s="352"/>
      <c r="N52" s="351" t="e">
        <f>VLOOKUP(N51,Schlüssel!$A$5:$K$10,2)</f>
        <v>#N/A</v>
      </c>
      <c r="O52" s="352"/>
      <c r="P52" s="353"/>
      <c r="Q52" s="353"/>
    </row>
    <row r="53" spans="1:31" ht="12" customHeight="1" x14ac:dyDescent="0.25">
      <c r="B53" s="4"/>
      <c r="C53" s="1"/>
      <c r="D53" s="350"/>
      <c r="E53" s="350"/>
      <c r="F53" s="350"/>
      <c r="G53" s="350"/>
      <c r="H53" s="350"/>
      <c r="I53" s="350"/>
      <c r="J53" s="350"/>
      <c r="K53" s="350"/>
      <c r="L53" s="350"/>
      <c r="M53" s="350"/>
      <c r="N53" s="350"/>
      <c r="O53" s="350"/>
      <c r="P53" s="307"/>
      <c r="Q53" s="307"/>
    </row>
    <row r="54" spans="1:31" ht="15.9" customHeight="1" x14ac:dyDescent="0.25">
      <c r="B54" s="35" t="s">
        <v>0</v>
      </c>
      <c r="C54" s="36"/>
      <c r="D54" s="348"/>
      <c r="E54" s="348"/>
      <c r="F54" s="348"/>
      <c r="G54" s="348"/>
      <c r="H54" s="348"/>
      <c r="I54" s="348"/>
      <c r="J54" s="348"/>
      <c r="K54" s="348"/>
      <c r="L54" s="348"/>
      <c r="M54" s="348"/>
      <c r="N54" s="348"/>
      <c r="O54" s="348"/>
      <c r="P54" s="349"/>
      <c r="Q54" s="349"/>
    </row>
    <row r="55" spans="1:31" ht="15.9" customHeight="1" x14ac:dyDescent="0.25">
      <c r="B55" s="35" t="s">
        <v>2</v>
      </c>
      <c r="C55" s="36"/>
      <c r="D55" s="348"/>
      <c r="E55" s="348"/>
      <c r="F55" s="348"/>
      <c r="G55" s="348"/>
      <c r="H55" s="348"/>
      <c r="I55" s="348"/>
      <c r="J55" s="348"/>
      <c r="K55" s="348"/>
      <c r="L55" s="348"/>
      <c r="M55" s="348"/>
      <c r="N55" s="348"/>
      <c r="O55" s="348"/>
      <c r="P55" s="349"/>
      <c r="Q55" s="349"/>
    </row>
    <row r="56" spans="1:31" ht="15.9" customHeight="1" x14ac:dyDescent="0.25">
      <c r="B56" s="35" t="s">
        <v>3</v>
      </c>
      <c r="C56" s="36"/>
      <c r="D56" s="348"/>
      <c r="E56" s="348"/>
      <c r="F56" s="348"/>
      <c r="G56" s="348"/>
      <c r="H56" s="348"/>
      <c r="I56" s="348"/>
      <c r="J56" s="348"/>
      <c r="K56" s="348"/>
      <c r="L56" s="348"/>
      <c r="M56" s="348"/>
      <c r="N56" s="348"/>
      <c r="O56" s="348"/>
      <c r="P56" s="349"/>
      <c r="Q56" s="349"/>
    </row>
    <row r="57" spans="1:31" ht="15.9" customHeight="1" x14ac:dyDescent="0.25">
      <c r="B57" s="35" t="s">
        <v>11</v>
      </c>
      <c r="C57" s="36"/>
      <c r="D57" s="348"/>
      <c r="E57" s="348"/>
      <c r="F57" s="348"/>
      <c r="G57" s="348"/>
      <c r="H57" s="348"/>
      <c r="I57" s="348"/>
      <c r="J57" s="348"/>
      <c r="K57" s="348"/>
      <c r="L57" s="348"/>
      <c r="M57" s="348"/>
      <c r="N57" s="348"/>
      <c r="O57" s="348"/>
      <c r="P57" s="349"/>
      <c r="Q57" s="349"/>
    </row>
    <row r="58" spans="1:31" ht="15.9" customHeight="1" x14ac:dyDescent="0.25">
      <c r="B58" s="37" t="s">
        <v>1788</v>
      </c>
      <c r="C58" s="38"/>
      <c r="D58" s="347"/>
      <c r="E58" s="347"/>
      <c r="F58" s="347"/>
      <c r="G58" s="347"/>
      <c r="H58" s="347"/>
      <c r="I58" s="347"/>
      <c r="J58" s="347"/>
      <c r="K58" s="347"/>
      <c r="L58" s="347"/>
      <c r="M58" s="347"/>
      <c r="N58" s="347"/>
      <c r="O58" s="347"/>
      <c r="P58" s="312"/>
      <c r="Q58" s="312"/>
    </row>
    <row r="59" spans="1:31" ht="21" customHeight="1" x14ac:dyDescent="0.4">
      <c r="B59" s="7" t="s">
        <v>1798</v>
      </c>
      <c r="C59" s="30" t="s">
        <v>1782</v>
      </c>
      <c r="D59" s="76" t="str">
        <f>Schlüssel!$C$1</f>
        <v>Landesliga Nord Frauen</v>
      </c>
      <c r="F59" s="25"/>
      <c r="G59" s="25"/>
      <c r="H59" s="25"/>
      <c r="I59" s="25"/>
      <c r="K59" s="29"/>
      <c r="L59" s="362" t="str">
        <f>Schlüssel!$BA$1</f>
        <v>16.02.</v>
      </c>
      <c r="M59" s="362"/>
      <c r="N59" s="362"/>
      <c r="O59" s="362"/>
      <c r="P59" s="362"/>
      <c r="AE59" s="90"/>
    </row>
    <row r="60" spans="1:31" ht="17.25" customHeight="1" thickBot="1" x14ac:dyDescent="0.35">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5">
      <c r="B63" s="40" t="s">
        <v>1</v>
      </c>
      <c r="C63" s="41"/>
      <c r="D63" s="363" t="s">
        <v>1789</v>
      </c>
      <c r="E63" s="364"/>
      <c r="F63" s="363" t="s">
        <v>1790</v>
      </c>
      <c r="G63" s="364"/>
      <c r="H63" s="363" t="s">
        <v>1791</v>
      </c>
      <c r="I63" s="364"/>
      <c r="J63" s="363" t="s">
        <v>1792</v>
      </c>
      <c r="K63" s="364"/>
      <c r="L63" s="363" t="s">
        <v>1793</v>
      </c>
      <c r="M63" s="364"/>
      <c r="N63" s="363" t="s">
        <v>2088</v>
      </c>
      <c r="O63" s="364"/>
      <c r="P63" s="365" t="s">
        <v>1788</v>
      </c>
      <c r="Q63" s="36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9" t="s">
        <v>0</v>
      </c>
      <c r="B65" s="17"/>
      <c r="C65" s="18"/>
      <c r="D65" s="14"/>
      <c r="E65" s="356"/>
      <c r="F65" s="14"/>
      <c r="G65" s="356"/>
      <c r="H65" s="14"/>
      <c r="I65" s="356"/>
      <c r="J65" s="14"/>
      <c r="K65" s="356"/>
      <c r="L65" s="14"/>
      <c r="M65" s="356"/>
      <c r="N65" s="14"/>
      <c r="O65" s="356"/>
      <c r="P65" s="14"/>
      <c r="Q65" s="356"/>
    </row>
    <row r="66" spans="1:17" ht="17.100000000000001" customHeight="1" x14ac:dyDescent="0.25">
      <c r="A66" s="360"/>
      <c r="B66" s="19"/>
      <c r="C66" s="20"/>
      <c r="D66" s="15"/>
      <c r="E66" s="357"/>
      <c r="F66" s="15"/>
      <c r="G66" s="357"/>
      <c r="H66" s="15"/>
      <c r="I66" s="357"/>
      <c r="J66" s="15"/>
      <c r="K66" s="357"/>
      <c r="L66" s="15"/>
      <c r="M66" s="357"/>
      <c r="N66" s="15"/>
      <c r="O66" s="357"/>
      <c r="P66" s="15"/>
      <c r="Q66" s="357"/>
    </row>
    <row r="67" spans="1:17" ht="17.100000000000001" customHeight="1" thickBot="1" x14ac:dyDescent="0.3">
      <c r="A67" s="361"/>
      <c r="B67" s="21"/>
      <c r="C67" s="22"/>
      <c r="D67" s="9"/>
      <c r="E67" s="358"/>
      <c r="F67" s="9"/>
      <c r="G67" s="358"/>
      <c r="H67" s="9"/>
      <c r="I67" s="358"/>
      <c r="J67" s="9"/>
      <c r="K67" s="358"/>
      <c r="L67" s="9"/>
      <c r="M67" s="358"/>
      <c r="N67" s="9"/>
      <c r="O67" s="358"/>
      <c r="P67" s="9"/>
      <c r="Q67" s="358"/>
    </row>
    <row r="68" spans="1:17" ht="17.100000000000001" customHeight="1" x14ac:dyDescent="0.25">
      <c r="A68" s="359" t="s">
        <v>2</v>
      </c>
      <c r="B68" s="17"/>
      <c r="C68" s="18"/>
      <c r="D68" s="14"/>
      <c r="E68" s="356"/>
      <c r="F68" s="14"/>
      <c r="G68" s="356"/>
      <c r="H68" s="14"/>
      <c r="I68" s="356"/>
      <c r="J68" s="14"/>
      <c r="K68" s="356"/>
      <c r="L68" s="14"/>
      <c r="M68" s="356"/>
      <c r="N68" s="14"/>
      <c r="O68" s="356"/>
      <c r="P68" s="14"/>
      <c r="Q68" s="356"/>
    </row>
    <row r="69" spans="1:17" ht="17.100000000000001" customHeight="1" x14ac:dyDescent="0.25">
      <c r="A69" s="360"/>
      <c r="B69" s="19"/>
      <c r="C69" s="20"/>
      <c r="D69" s="15"/>
      <c r="E69" s="357"/>
      <c r="F69" s="15"/>
      <c r="G69" s="357"/>
      <c r="H69" s="15"/>
      <c r="I69" s="357"/>
      <c r="J69" s="15"/>
      <c r="K69" s="357"/>
      <c r="L69" s="15"/>
      <c r="M69" s="357"/>
      <c r="N69" s="15"/>
      <c r="O69" s="357"/>
      <c r="P69" s="15"/>
      <c r="Q69" s="357"/>
    </row>
    <row r="70" spans="1:17" ht="17.100000000000001" customHeight="1" thickBot="1" x14ac:dyDescent="0.3">
      <c r="A70" s="361"/>
      <c r="B70" s="21"/>
      <c r="C70" s="22"/>
      <c r="D70" s="9"/>
      <c r="E70" s="358"/>
      <c r="F70" s="9"/>
      <c r="G70" s="358"/>
      <c r="H70" s="9"/>
      <c r="I70" s="358"/>
      <c r="J70" s="9"/>
      <c r="K70" s="358"/>
      <c r="L70" s="9"/>
      <c r="M70" s="358"/>
      <c r="N70" s="9"/>
      <c r="O70" s="358"/>
      <c r="P70" s="9"/>
      <c r="Q70" s="358"/>
    </row>
    <row r="71" spans="1:17" ht="17.100000000000001" customHeight="1" x14ac:dyDescent="0.25">
      <c r="A71" s="359" t="s">
        <v>3</v>
      </c>
      <c r="B71" s="17"/>
      <c r="C71" s="18"/>
      <c r="D71" s="14"/>
      <c r="E71" s="356"/>
      <c r="F71" s="14"/>
      <c r="G71" s="356"/>
      <c r="H71" s="14"/>
      <c r="I71" s="356"/>
      <c r="J71" s="14"/>
      <c r="K71" s="356"/>
      <c r="L71" s="14"/>
      <c r="M71" s="356"/>
      <c r="N71" s="14"/>
      <c r="O71" s="356"/>
      <c r="P71" s="14"/>
      <c r="Q71" s="356"/>
    </row>
    <row r="72" spans="1:17" ht="17.100000000000001" customHeight="1" x14ac:dyDescent="0.25">
      <c r="A72" s="360"/>
      <c r="B72" s="19"/>
      <c r="C72" s="20"/>
      <c r="D72" s="15"/>
      <c r="E72" s="357"/>
      <c r="F72" s="15"/>
      <c r="G72" s="357"/>
      <c r="H72" s="15"/>
      <c r="I72" s="357"/>
      <c r="J72" s="15"/>
      <c r="K72" s="357"/>
      <c r="L72" s="15"/>
      <c r="M72" s="357"/>
      <c r="N72" s="15"/>
      <c r="O72" s="357"/>
      <c r="P72" s="15"/>
      <c r="Q72" s="357"/>
    </row>
    <row r="73" spans="1:17" ht="17.100000000000001" customHeight="1" thickBot="1" x14ac:dyDescent="0.3">
      <c r="A73" s="361"/>
      <c r="B73" s="21"/>
      <c r="C73" s="22"/>
      <c r="D73" s="9"/>
      <c r="E73" s="358"/>
      <c r="F73" s="9"/>
      <c r="G73" s="358"/>
      <c r="H73" s="9"/>
      <c r="I73" s="358"/>
      <c r="J73" s="9"/>
      <c r="K73" s="358"/>
      <c r="L73" s="9"/>
      <c r="M73" s="358"/>
      <c r="N73" s="9"/>
      <c r="O73" s="358"/>
      <c r="P73" s="9"/>
      <c r="Q73" s="358"/>
    </row>
    <row r="74" spans="1:17" ht="17.100000000000001" customHeight="1" x14ac:dyDescent="0.25">
      <c r="A74" s="359" t="s">
        <v>11</v>
      </c>
      <c r="B74" s="17"/>
      <c r="C74" s="18"/>
      <c r="D74" s="14"/>
      <c r="E74" s="356"/>
      <c r="F74" s="14"/>
      <c r="G74" s="356"/>
      <c r="H74" s="14"/>
      <c r="I74" s="356"/>
      <c r="J74" s="14"/>
      <c r="K74" s="356"/>
      <c r="L74" s="14"/>
      <c r="M74" s="356"/>
      <c r="N74" s="14"/>
      <c r="O74" s="356"/>
      <c r="P74" s="14"/>
      <c r="Q74" s="356"/>
    </row>
    <row r="75" spans="1:17" ht="17.100000000000001" customHeight="1" x14ac:dyDescent="0.25">
      <c r="A75" s="360"/>
      <c r="B75" s="19"/>
      <c r="C75" s="20"/>
      <c r="D75" s="15"/>
      <c r="E75" s="357"/>
      <c r="F75" s="15"/>
      <c r="G75" s="357"/>
      <c r="H75" s="15"/>
      <c r="I75" s="357"/>
      <c r="J75" s="15"/>
      <c r="K75" s="357"/>
      <c r="L75" s="15"/>
      <c r="M75" s="357"/>
      <c r="N75" s="15"/>
      <c r="O75" s="357"/>
      <c r="P75" s="15"/>
      <c r="Q75" s="357"/>
    </row>
    <row r="76" spans="1:17" ht="17.100000000000001" customHeight="1" thickBot="1" x14ac:dyDescent="0.3">
      <c r="A76" s="361"/>
      <c r="B76" s="21"/>
      <c r="C76" s="22"/>
      <c r="D76" s="9"/>
      <c r="E76" s="358"/>
      <c r="F76" s="9"/>
      <c r="G76" s="358"/>
      <c r="H76" s="9"/>
      <c r="I76" s="358"/>
      <c r="J76" s="9"/>
      <c r="K76" s="358"/>
      <c r="L76" s="9"/>
      <c r="M76" s="358"/>
      <c r="N76" s="9"/>
      <c r="O76" s="358"/>
      <c r="P76" s="9"/>
      <c r="Q76" s="358"/>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4">
        <f>VLOOKUP(B60,Schlüssel!$A$5:$DF$10,43)</f>
        <v>1</v>
      </c>
      <c r="E80" s="354"/>
      <c r="F80" s="354">
        <f>VLOOKUP(B60,Schlüssel!$A$5:$DF$10,44)</f>
        <v>1</v>
      </c>
      <c r="G80" s="354"/>
      <c r="H80" s="354">
        <f>VLOOKUP(B60,Schlüssel!$A$5:$DF$10,45)</f>
        <v>1</v>
      </c>
      <c r="I80" s="354"/>
      <c r="J80" s="354">
        <f>VLOOKUP(B60,Schlüssel!$A$5:$DF$10,46)</f>
        <v>1</v>
      </c>
      <c r="K80" s="354"/>
      <c r="L80" s="354">
        <f>VLOOKUP(B60,Schlüssel!$A$5:$DF$10,47)</f>
        <v>1</v>
      </c>
      <c r="M80" s="354"/>
      <c r="N80" s="354">
        <f>VLOOKUP(B60,Schlüssel!$A$5:$DF$10,48)</f>
        <v>1</v>
      </c>
      <c r="O80" s="354"/>
      <c r="P80" s="355"/>
      <c r="Q80" s="355"/>
    </row>
    <row r="81" spans="2:17" ht="28.5" customHeight="1" x14ac:dyDescent="0.25">
      <c r="B81" s="4"/>
      <c r="C81" s="1"/>
      <c r="D81" s="351" t="str">
        <f>VLOOKUP(D80,Schlüssel!$A$5:$K$10,2)</f>
        <v>Kleeblatt Fürth</v>
      </c>
      <c r="E81" s="352"/>
      <c r="F81" s="351" t="str">
        <f>VLOOKUP(F80,Schlüssel!$A$5:$K$10,2)</f>
        <v>Kleeblatt Fürth</v>
      </c>
      <c r="G81" s="352"/>
      <c r="H81" s="351" t="str">
        <f>VLOOKUP(H80,Schlüssel!$A$5:$K$10,2)</f>
        <v>Kleeblatt Fürth</v>
      </c>
      <c r="I81" s="352"/>
      <c r="J81" s="351" t="str">
        <f>VLOOKUP(J80,Schlüssel!$A$5:$K$10,2)</f>
        <v>Kleeblatt Fürth</v>
      </c>
      <c r="K81" s="352"/>
      <c r="L81" s="351" t="str">
        <f>VLOOKUP(L80,Schlüssel!$A$5:$K$10,2)</f>
        <v>Kleeblatt Fürth</v>
      </c>
      <c r="M81" s="352"/>
      <c r="N81" s="351" t="str">
        <f>VLOOKUP(N80,Schlüssel!$A$5:$K$10,2)</f>
        <v>Kleeblatt Fürth</v>
      </c>
      <c r="O81" s="352"/>
      <c r="P81" s="353"/>
      <c r="Q81" s="353"/>
    </row>
    <row r="82" spans="2:17" ht="12" customHeight="1" x14ac:dyDescent="0.25">
      <c r="B82" s="4"/>
      <c r="C82" s="1"/>
      <c r="D82" s="350"/>
      <c r="E82" s="350"/>
      <c r="F82" s="350"/>
      <c r="G82" s="350"/>
      <c r="H82" s="350"/>
      <c r="I82" s="350"/>
      <c r="J82" s="350"/>
      <c r="K82" s="350"/>
      <c r="L82" s="350"/>
      <c r="M82" s="350"/>
      <c r="N82" s="350"/>
      <c r="O82" s="350"/>
      <c r="P82" s="307"/>
      <c r="Q82" s="307"/>
    </row>
    <row r="83" spans="2:17" ht="15.9" customHeight="1" x14ac:dyDescent="0.25">
      <c r="B83" s="35" t="s">
        <v>0</v>
      </c>
      <c r="C83" s="36"/>
      <c r="D83" s="348"/>
      <c r="E83" s="348"/>
      <c r="F83" s="348"/>
      <c r="G83" s="348"/>
      <c r="H83" s="348"/>
      <c r="I83" s="348"/>
      <c r="J83" s="348"/>
      <c r="K83" s="348"/>
      <c r="L83" s="348"/>
      <c r="M83" s="348"/>
      <c r="N83" s="348"/>
      <c r="O83" s="348"/>
      <c r="P83" s="349"/>
      <c r="Q83" s="349"/>
    </row>
    <row r="84" spans="2:17" ht="15.9" customHeight="1" x14ac:dyDescent="0.25">
      <c r="B84" s="35" t="s">
        <v>2</v>
      </c>
      <c r="C84" s="36"/>
      <c r="D84" s="348"/>
      <c r="E84" s="348"/>
      <c r="F84" s="348"/>
      <c r="G84" s="348"/>
      <c r="H84" s="348"/>
      <c r="I84" s="348"/>
      <c r="J84" s="348"/>
      <c r="K84" s="348"/>
      <c r="L84" s="348"/>
      <c r="M84" s="348"/>
      <c r="N84" s="348"/>
      <c r="O84" s="348"/>
      <c r="P84" s="349"/>
      <c r="Q84" s="349"/>
    </row>
    <row r="85" spans="2:17" ht="15.9" customHeight="1" x14ac:dyDescent="0.25">
      <c r="B85" s="35" t="s">
        <v>3</v>
      </c>
      <c r="C85" s="36"/>
      <c r="D85" s="348"/>
      <c r="E85" s="348"/>
      <c r="F85" s="348"/>
      <c r="G85" s="348"/>
      <c r="H85" s="348"/>
      <c r="I85" s="348"/>
      <c r="J85" s="348"/>
      <c r="K85" s="348"/>
      <c r="L85" s="348"/>
      <c r="M85" s="348"/>
      <c r="N85" s="348"/>
      <c r="O85" s="348"/>
      <c r="P85" s="349"/>
      <c r="Q85" s="349"/>
    </row>
    <row r="86" spans="2:17" ht="15.9" customHeight="1" x14ac:dyDescent="0.25">
      <c r="B86" s="35" t="s">
        <v>11</v>
      </c>
      <c r="C86" s="36"/>
      <c r="D86" s="348"/>
      <c r="E86" s="348"/>
      <c r="F86" s="348"/>
      <c r="G86" s="348"/>
      <c r="H86" s="348"/>
      <c r="I86" s="348"/>
      <c r="J86" s="348"/>
      <c r="K86" s="348"/>
      <c r="L86" s="348"/>
      <c r="M86" s="348"/>
      <c r="N86" s="348"/>
      <c r="O86" s="348"/>
      <c r="P86" s="349"/>
      <c r="Q86" s="349"/>
    </row>
    <row r="87" spans="2:17" ht="15.9" customHeight="1" x14ac:dyDescent="0.25">
      <c r="B87" s="37" t="s">
        <v>1788</v>
      </c>
      <c r="C87" s="38"/>
      <c r="D87" s="347"/>
      <c r="E87" s="347"/>
      <c r="F87" s="347"/>
      <c r="G87" s="347"/>
      <c r="H87" s="347"/>
      <c r="I87" s="347"/>
      <c r="J87" s="347"/>
      <c r="K87" s="347"/>
      <c r="L87" s="347"/>
      <c r="M87" s="347"/>
      <c r="N87" s="347"/>
      <c r="O87" s="347"/>
      <c r="P87" s="312"/>
      <c r="Q87" s="312"/>
    </row>
  </sheetData>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Z90"/>
  <sheetViews>
    <sheetView view="pageBreakPreview" topLeftCell="R4" zoomScaleNormal="100" zoomScaleSheetLayoutView="100" workbookViewId="0">
      <selection activeCell="AE77" sqref="AE77"/>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80" t="str">
        <f>AD1</f>
        <v>16.02.</v>
      </c>
      <c r="N1" s="380"/>
      <c r="O1" s="380"/>
      <c r="P1" s="381"/>
      <c r="Q1" s="381"/>
      <c r="R1" s="381"/>
      <c r="S1" s="7" t="s">
        <v>1798</v>
      </c>
      <c r="T1" s="25"/>
      <c r="U1" s="30" t="s">
        <v>1782</v>
      </c>
      <c r="V1" s="76" t="str">
        <f>Schlüssel!$C$1</f>
        <v>Landesliga Nord Frauen</v>
      </c>
      <c r="X1" s="25"/>
      <c r="Y1" s="25"/>
      <c r="Z1" s="25"/>
      <c r="AA1" s="25"/>
      <c r="AC1" s="29"/>
      <c r="AD1" s="362" t="str">
        <f>Schlüssel!$BA$1</f>
        <v>16.02.</v>
      </c>
      <c r="AE1" s="362"/>
      <c r="AF1" s="362"/>
      <c r="AG1" s="362"/>
      <c r="AH1" s="362"/>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5">
      <c r="B5" s="40" t="s">
        <v>1</v>
      </c>
      <c r="C5" s="41"/>
      <c r="D5" s="363" t="s">
        <v>1789</v>
      </c>
      <c r="E5" s="364"/>
      <c r="F5" s="363" t="s">
        <v>1790</v>
      </c>
      <c r="G5" s="364"/>
      <c r="H5" s="363" t="s">
        <v>1791</v>
      </c>
      <c r="I5" s="364"/>
      <c r="J5" s="363" t="s">
        <v>1792</v>
      </c>
      <c r="K5" s="364"/>
      <c r="L5" s="363" t="s">
        <v>1793</v>
      </c>
      <c r="M5" s="364"/>
      <c r="N5" s="365" t="s">
        <v>1788</v>
      </c>
      <c r="O5" s="366"/>
      <c r="S5" s="40" t="s">
        <v>1</v>
      </c>
      <c r="T5" s="41"/>
      <c r="U5" s="363" t="s">
        <v>1789</v>
      </c>
      <c r="V5" s="364"/>
      <c r="W5" s="363" t="s">
        <v>1790</v>
      </c>
      <c r="X5" s="364"/>
      <c r="Y5" s="363" t="s">
        <v>1791</v>
      </c>
      <c r="Z5" s="364"/>
      <c r="AA5" s="363" t="s">
        <v>1792</v>
      </c>
      <c r="AB5" s="364"/>
      <c r="AC5" s="363" t="s">
        <v>1793</v>
      </c>
      <c r="AD5" s="368"/>
      <c r="AE5" s="363" t="s">
        <v>2088</v>
      </c>
      <c r="AF5" s="368"/>
      <c r="AG5" s="367" t="s">
        <v>1788</v>
      </c>
      <c r="AH5" s="36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7" t="s">
        <v>0</v>
      </c>
      <c r="B7" s="17" t="str">
        <f>IF(S7=0,"",S7)</f>
        <v>Röde, Sigrid</v>
      </c>
      <c r="C7" s="18">
        <f>IF(T7=0,"",T7)</f>
        <v>38825</v>
      </c>
      <c r="D7" s="14">
        <f>IF(U7=0,"",U7)</f>
        <v>159</v>
      </c>
      <c r="E7" s="356">
        <f>IF(V7="","",V7)</f>
        <v>1</v>
      </c>
      <c r="F7" s="14">
        <f t="shared" ref="F7:F20" si="0">IF(W7=0,"",W7)</f>
        <v>120</v>
      </c>
      <c r="G7" s="356">
        <f>IF(X7="","",X7)</f>
        <v>0</v>
      </c>
      <c r="H7" s="14">
        <f t="shared" ref="H7:H20" si="1">IF(Y7=0,"",Y7)</f>
        <v>178</v>
      </c>
      <c r="I7" s="356">
        <f>IF(Z7="","",Z7)</f>
        <v>1</v>
      </c>
      <c r="J7" s="14">
        <f t="shared" ref="J7:J20" si="2">IF(AA7=0,"",AA7)</f>
        <v>157</v>
      </c>
      <c r="K7" s="356">
        <f>IF(AB7="","",AB7)</f>
        <v>1</v>
      </c>
      <c r="L7" s="14">
        <f t="shared" ref="L7:L20" si="3">IF(AC7=0,"",AC7)</f>
        <v>179</v>
      </c>
      <c r="M7" s="356">
        <f>IF(AD7="","",AD7)</f>
        <v>1</v>
      </c>
      <c r="N7" s="14">
        <f t="shared" ref="N7:N20" si="4">IF(AG7=0,"",AG7)</f>
        <v>929</v>
      </c>
      <c r="O7" s="356">
        <f>IF(AH7="","",AH7)</f>
        <v>5</v>
      </c>
      <c r="R7" s="359" t="s">
        <v>0</v>
      </c>
      <c r="S7" s="67" t="str">
        <f>IF(T7=0,"",VLOOKUP(T7,Starter!$A$1:$D$187,2,FALSE))</f>
        <v>Röde, Sigrid</v>
      </c>
      <c r="T7" s="174">
        <v>38825</v>
      </c>
      <c r="U7" s="182">
        <v>159</v>
      </c>
      <c r="V7" s="95">
        <f>IF(SUM(U7:U9)+U25=0,0,IF(ABS(SUM(U7:U9))=U25,0.5,IF(ABS(SUM(U7:U9))&gt;U25,1,0)))</f>
        <v>1</v>
      </c>
      <c r="W7" s="182">
        <v>120</v>
      </c>
      <c r="X7" s="95">
        <f>IF(SUM(W7:W9)+W25=0,0,IF(ABS(SUM(W7:W9))=W25,0.5,IF(ABS(SUM(W7:W9))&gt;W25,1,0)))</f>
        <v>0</v>
      </c>
      <c r="Y7" s="182">
        <v>178</v>
      </c>
      <c r="Z7" s="95">
        <f>IF(SUM(Y7:Y9)+Y25=0,0,IF(ABS(SUM(Y7:Y9))=Y25,0.5,IF(ABS(SUM(Y7:Y9))&gt;Y25,1,0)))</f>
        <v>1</v>
      </c>
      <c r="AA7" s="188">
        <v>157</v>
      </c>
      <c r="AB7" s="95">
        <f>IF(SUM(AA7:AA9)+AA25=0,0,IF(ABS(SUM(AA7:AA9))=AA25,0.5,IF(ABS(SUM(AA7:AA9))&gt;AA25,1,0)))</f>
        <v>1</v>
      </c>
      <c r="AC7" s="182">
        <v>179</v>
      </c>
      <c r="AD7" s="95">
        <f>IF(SUM(AC7:AC9)+AC25=0,0,IF(ABS(SUM(AC7:AC9))=AC25,0.5,IF(ABS(SUM(AC7:AC9))&gt;AC25,1,0)))</f>
        <v>1</v>
      </c>
      <c r="AE7" s="182">
        <v>136</v>
      </c>
      <c r="AF7" s="95">
        <f>IF(SUM(AE7:AE9)+AE25=0,0,IF(ABS(SUM(AE7:AE9))=AE25,0.5,IF(ABS(SUM(AE7:AE9))&gt;AE25,1,0)))</f>
        <v>1</v>
      </c>
      <c r="AG7" s="194">
        <f t="shared" ref="AG7:AG18" si="5">ABS(SUM(U7:U7))+ABS(SUM(W7:W7))+ABS(SUM(Y7:Y7))+ABS(SUM(AA7:AA7))+ABS(SUM(AC7:AC7))+ABS(SUM(AE7:AE7))</f>
        <v>929</v>
      </c>
      <c r="AH7" s="179">
        <f>SUM(V7+X7+Z7+AB7+AD7+AF7)</f>
        <v>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929</v>
      </c>
      <c r="BF7" s="223">
        <f t="shared" ref="BF7:BF18" si="8">COUNT(BH7:BM7)</f>
        <v>6</v>
      </c>
      <c r="BG7" s="223">
        <f t="shared" ref="BG7:BG18" si="9">COUNTIF(BH7:BM7,"&gt;0")</f>
        <v>6</v>
      </c>
      <c r="BH7" s="223">
        <f t="shared" ref="BH7:BH18" si="10">IF(U7=0,"",U7)</f>
        <v>159</v>
      </c>
      <c r="BI7" s="223">
        <f t="shared" ref="BI7:BI18" si="11">IF(W7=0,"",W7)</f>
        <v>120</v>
      </c>
      <c r="BJ7" s="223">
        <f t="shared" ref="BJ7:BJ18" si="12">IF(Y7=0,"",Y7)</f>
        <v>178</v>
      </c>
      <c r="BK7" s="223">
        <f t="shared" ref="BK7:BK18" si="13">IF(AA7=0,"",AA7)</f>
        <v>157</v>
      </c>
      <c r="BL7" s="223">
        <f t="shared" ref="BL7:BL18" si="14">IF(AC7=0,"",AC7)</f>
        <v>179</v>
      </c>
      <c r="BM7" s="223">
        <f t="shared" ref="BM7:BM18" si="15">IF(AE7=0,"",AE7)</f>
        <v>136</v>
      </c>
      <c r="BN7" s="224"/>
      <c r="BO7" s="222"/>
      <c r="BP7" s="223">
        <f t="shared" ref="BP7:BP18" si="16">MAX(BH7:BM7)</f>
        <v>179</v>
      </c>
      <c r="BQ7" s="223">
        <f t="shared" ref="BQ7:BQ18" si="17">IF(BP7&lt;MAX(BP:BP),0,BP7+ROW()/1000000000)</f>
        <v>0</v>
      </c>
      <c r="BR7" s="223" t="str">
        <f>+S3</f>
        <v>Kleeblatt Fürth</v>
      </c>
      <c r="BS7" s="222">
        <f t="shared" ref="BS7:BS18" si="18">RANK(BQ7,BQ:BQ)</f>
        <v>2</v>
      </c>
      <c r="BT7" s="223">
        <f>SUMIF(BH7:BM7,"&gt;0")</f>
        <v>929</v>
      </c>
      <c r="BU7" s="223">
        <f>IF(COUNTIF(BH7:BM7,"&gt;0")&lt;Spielorte!$A$23,0,BE7/Spielorte!$A$23)</f>
        <v>154.83333333333334</v>
      </c>
      <c r="BV7" s="223">
        <f t="shared" ref="BV7:BV18" si="19">IF(BU7&lt;MAX(BU:BU),0,BU7+ROW()/1000000000)</f>
        <v>0</v>
      </c>
      <c r="BW7" s="222">
        <f t="shared" ref="BW7:BW18" si="20">IF(BV7=0,0,RANK(BV7,BV:BV))</f>
        <v>0</v>
      </c>
    </row>
    <row r="8" spans="1:75" ht="17.100000000000001" customHeight="1" x14ac:dyDescent="0.25">
      <c r="A8" s="378"/>
      <c r="B8" s="19" t="str">
        <f t="shared" ref="B8:D20" si="21">IF(S8=0,"",S8)</f>
        <v/>
      </c>
      <c r="C8" s="20" t="str">
        <f t="shared" si="21"/>
        <v/>
      </c>
      <c r="D8" s="15" t="str">
        <f t="shared" si="21"/>
        <v/>
      </c>
      <c r="E8" s="357"/>
      <c r="F8" s="15" t="str">
        <f t="shared" si="0"/>
        <v/>
      </c>
      <c r="G8" s="357"/>
      <c r="H8" s="15" t="str">
        <f t="shared" si="1"/>
        <v/>
      </c>
      <c r="I8" s="357"/>
      <c r="J8" s="15" t="str">
        <f t="shared" si="2"/>
        <v/>
      </c>
      <c r="K8" s="357"/>
      <c r="L8" s="15" t="str">
        <f t="shared" si="3"/>
        <v/>
      </c>
      <c r="M8" s="357"/>
      <c r="N8" s="15" t="str">
        <f t="shared" si="4"/>
        <v/>
      </c>
      <c r="O8" s="357"/>
      <c r="R8" s="360"/>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9"/>
      <c r="B9" s="21" t="str">
        <f t="shared" si="21"/>
        <v/>
      </c>
      <c r="C9" s="22" t="str">
        <f t="shared" si="21"/>
        <v/>
      </c>
      <c r="D9" s="9" t="str">
        <f t="shared" si="21"/>
        <v/>
      </c>
      <c r="E9" s="358"/>
      <c r="F9" s="9" t="str">
        <f t="shared" si="0"/>
        <v/>
      </c>
      <c r="G9" s="358"/>
      <c r="H9" s="9" t="str">
        <f t="shared" si="1"/>
        <v/>
      </c>
      <c r="I9" s="358"/>
      <c r="J9" s="9" t="str">
        <f t="shared" si="2"/>
        <v/>
      </c>
      <c r="K9" s="358"/>
      <c r="L9" s="9" t="str">
        <f t="shared" si="3"/>
        <v/>
      </c>
      <c r="M9" s="358"/>
      <c r="N9" s="9" t="str">
        <f t="shared" si="4"/>
        <v/>
      </c>
      <c r="O9" s="358"/>
      <c r="R9" s="361"/>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7" t="s">
        <v>2</v>
      </c>
      <c r="B10" s="17" t="str">
        <f t="shared" si="21"/>
        <v>Herderich, Christine</v>
      </c>
      <c r="C10" s="18">
        <f t="shared" si="21"/>
        <v>7956</v>
      </c>
      <c r="D10" s="14">
        <f t="shared" si="21"/>
        <v>160</v>
      </c>
      <c r="E10" s="356">
        <f>IF(V10="","",V10)</f>
        <v>0</v>
      </c>
      <c r="F10" s="14">
        <f t="shared" si="0"/>
        <v>128</v>
      </c>
      <c r="G10" s="356">
        <f>IF(X10="","",X10)</f>
        <v>0</v>
      </c>
      <c r="H10" s="14">
        <f t="shared" si="1"/>
        <v>135</v>
      </c>
      <c r="I10" s="356">
        <f>IF(Z10="","",Z10)</f>
        <v>0</v>
      </c>
      <c r="J10" s="14" t="str">
        <f t="shared" si="2"/>
        <v/>
      </c>
      <c r="K10" s="356">
        <f>IF(AB10="","",AB10)</f>
        <v>0.5</v>
      </c>
      <c r="L10" s="14" t="str">
        <f t="shared" si="3"/>
        <v/>
      </c>
      <c r="M10" s="356">
        <f>IF(AD10="","",AD10)</f>
        <v>0</v>
      </c>
      <c r="N10" s="14">
        <f t="shared" si="4"/>
        <v>423</v>
      </c>
      <c r="O10" s="356">
        <f>IF(AH10="","",AH10)</f>
        <v>1.5</v>
      </c>
      <c r="R10" s="359" t="s">
        <v>2</v>
      </c>
      <c r="S10" s="67" t="str">
        <f>IF(T10=0,"",VLOOKUP(T10,Starter!$A$1:$D$187,2,FALSE))</f>
        <v>Herderich, Christine</v>
      </c>
      <c r="T10" s="177">
        <v>7956</v>
      </c>
      <c r="U10" s="185">
        <v>160</v>
      </c>
      <c r="V10" s="95">
        <f>IF(SUM(U10:U12)+U26=0,0,IF(ABS(SUM(U10:U12))=U26,0.5,IF(ABS(SUM(U10:U12))&gt;U26,1,0)))</f>
        <v>0</v>
      </c>
      <c r="W10" s="185">
        <v>128</v>
      </c>
      <c r="X10" s="95">
        <f>IF(SUM(W10:W12)+W26=0,0,IF(ABS(SUM(W10:W12))=W26,0.5,IF(ABS(SUM(W10:W12))&gt;W26,1,0)))</f>
        <v>0</v>
      </c>
      <c r="Y10" s="185">
        <v>135</v>
      </c>
      <c r="Z10" s="95">
        <f>IF(SUM(Y10:Y12)+Y26=0,0,IF(ABS(SUM(Y10:Y12))=Y26,0.5,IF(ABS(SUM(Y10:Y12))&gt;Y26,1,0)))</f>
        <v>0</v>
      </c>
      <c r="AA10" s="185"/>
      <c r="AB10" s="95">
        <f>IF(SUM(AA10:AA12)+AA26=0,0,IF(ABS(SUM(AA10:AA12))=AA26,0.5,IF(ABS(SUM(AA10:AA12))&gt;AA26,1,0)))</f>
        <v>0.5</v>
      </c>
      <c r="AC10" s="185"/>
      <c r="AD10" s="95">
        <f>IF(SUM(AC10:AC12)+AC26=0,0,IF(ABS(SUM(AC10:AC12))=AC26,0.5,IF(ABS(SUM(AC10:AC12))&gt;AC26,1,0)))</f>
        <v>0</v>
      </c>
      <c r="AE10" s="185"/>
      <c r="AF10" s="95">
        <f>IF(SUM(AE10:AE12)+AE26=0,0,IF(ABS(SUM(AE10:AE12))=AE26,0.5,IF(ABS(SUM(AE10:AE12))&gt;AE26,1,0)))</f>
        <v>1</v>
      </c>
      <c r="AG10" s="194">
        <f t="shared" si="5"/>
        <v>423</v>
      </c>
      <c r="AH10" s="179">
        <f>SUM(V10+X10+Z10+AB10+AD10+AF10)</f>
        <v>1.5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423</v>
      </c>
      <c r="BF10" s="223">
        <f t="shared" si="8"/>
        <v>3</v>
      </c>
      <c r="BG10" s="223">
        <f t="shared" si="9"/>
        <v>3</v>
      </c>
      <c r="BH10" s="223">
        <f t="shared" si="10"/>
        <v>160</v>
      </c>
      <c r="BI10" s="223">
        <f t="shared" si="11"/>
        <v>128</v>
      </c>
      <c r="BJ10" s="223">
        <f t="shared" si="12"/>
        <v>135</v>
      </c>
      <c r="BK10" s="223" t="str">
        <f t="shared" si="13"/>
        <v/>
      </c>
      <c r="BL10" s="223" t="str">
        <f t="shared" si="14"/>
        <v/>
      </c>
      <c r="BM10" s="223" t="str">
        <f t="shared" si="15"/>
        <v/>
      </c>
      <c r="BN10" s="224"/>
      <c r="BO10" s="222"/>
      <c r="BP10" s="223">
        <f t="shared" si="16"/>
        <v>160</v>
      </c>
      <c r="BQ10" s="223">
        <f t="shared" si="17"/>
        <v>0</v>
      </c>
      <c r="BR10" s="223" t="str">
        <f t="shared" si="22"/>
        <v>Kleeblatt Fürth</v>
      </c>
      <c r="BS10" s="222">
        <f t="shared" si="18"/>
        <v>2</v>
      </c>
      <c r="BT10" s="223">
        <f t="shared" si="23"/>
        <v>423</v>
      </c>
      <c r="BU10" s="223">
        <f>IF(COUNTIF(BH10:BM10,"&gt;0")&lt;Spielorte!$A$23,0,BE10/Spielorte!$A$23)</f>
        <v>0</v>
      </c>
      <c r="BV10" s="223">
        <f t="shared" si="19"/>
        <v>0</v>
      </c>
      <c r="BW10" s="222">
        <f t="shared" si="20"/>
        <v>0</v>
      </c>
    </row>
    <row r="11" spans="1:75" ht="17.100000000000001" customHeight="1" x14ac:dyDescent="0.25">
      <c r="A11" s="378"/>
      <c r="B11" s="19" t="str">
        <f t="shared" si="21"/>
        <v>Hofmann, Hildegard</v>
      </c>
      <c r="C11" s="20">
        <f t="shared" si="21"/>
        <v>7952</v>
      </c>
      <c r="D11" s="15" t="str">
        <f t="shared" si="21"/>
        <v/>
      </c>
      <c r="E11" s="357"/>
      <c r="F11" s="15" t="str">
        <f t="shared" si="0"/>
        <v/>
      </c>
      <c r="G11" s="357"/>
      <c r="H11" s="15" t="str">
        <f t="shared" si="1"/>
        <v/>
      </c>
      <c r="I11" s="357"/>
      <c r="J11" s="15">
        <f t="shared" si="2"/>
        <v>151</v>
      </c>
      <c r="K11" s="357"/>
      <c r="L11" s="15">
        <f t="shared" si="3"/>
        <v>156</v>
      </c>
      <c r="M11" s="357"/>
      <c r="N11" s="15">
        <f t="shared" si="4"/>
        <v>483</v>
      </c>
      <c r="O11" s="357"/>
      <c r="R11" s="360"/>
      <c r="S11" s="67" t="str">
        <f>IF(T11=0,"",VLOOKUP(T11,Starter!$A$1:$D$187,2,FALSE))</f>
        <v>Hofmann, Hildegard</v>
      </c>
      <c r="T11" s="175">
        <v>7952</v>
      </c>
      <c r="U11" s="183"/>
      <c r="V11" s="96"/>
      <c r="W11" s="183"/>
      <c r="X11" s="96"/>
      <c r="Y11" s="183"/>
      <c r="Z11" s="96"/>
      <c r="AA11" s="183">
        <v>151</v>
      </c>
      <c r="AB11" s="96"/>
      <c r="AC11" s="183">
        <v>156</v>
      </c>
      <c r="AD11" s="96"/>
      <c r="AE11" s="183">
        <v>176</v>
      </c>
      <c r="AF11" s="96"/>
      <c r="AG11" s="195">
        <f t="shared" si="5"/>
        <v>483</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7952</v>
      </c>
      <c r="BE11" s="221">
        <f t="shared" si="7"/>
        <v>483</v>
      </c>
      <c r="BF11" s="223">
        <f t="shared" si="8"/>
        <v>3</v>
      </c>
      <c r="BG11" s="223">
        <f t="shared" si="9"/>
        <v>3</v>
      </c>
      <c r="BH11" s="223" t="str">
        <f t="shared" si="10"/>
        <v/>
      </c>
      <c r="BI11" s="223" t="str">
        <f t="shared" si="11"/>
        <v/>
      </c>
      <c r="BJ11" s="223" t="str">
        <f t="shared" si="12"/>
        <v/>
      </c>
      <c r="BK11" s="223">
        <f t="shared" si="13"/>
        <v>151</v>
      </c>
      <c r="BL11" s="223">
        <f t="shared" si="14"/>
        <v>156</v>
      </c>
      <c r="BM11" s="223">
        <f t="shared" si="15"/>
        <v>176</v>
      </c>
      <c r="BN11" s="224"/>
      <c r="BO11" s="222"/>
      <c r="BP11" s="223">
        <f t="shared" si="16"/>
        <v>176</v>
      </c>
      <c r="BQ11" s="223">
        <f t="shared" si="17"/>
        <v>0</v>
      </c>
      <c r="BR11" s="223" t="str">
        <f t="shared" si="22"/>
        <v>Kleeblatt Fürth</v>
      </c>
      <c r="BS11" s="222">
        <f t="shared" si="18"/>
        <v>2</v>
      </c>
      <c r="BT11" s="223">
        <f t="shared" si="23"/>
        <v>483</v>
      </c>
      <c r="BU11" s="223">
        <f>IF(COUNTIF(BH11:BM11,"&gt;0")&lt;Spielorte!$A$23,0,BE11/Spielorte!$A$23)</f>
        <v>0</v>
      </c>
      <c r="BV11" s="223">
        <f t="shared" si="19"/>
        <v>0</v>
      </c>
      <c r="BW11" s="222">
        <f t="shared" si="20"/>
        <v>0</v>
      </c>
    </row>
    <row r="12" spans="1:75" ht="17.100000000000001" customHeight="1" thickBot="1" x14ac:dyDescent="0.3">
      <c r="A12" s="379"/>
      <c r="B12" s="21" t="str">
        <f t="shared" si="21"/>
        <v/>
      </c>
      <c r="C12" s="22" t="str">
        <f t="shared" si="21"/>
        <v/>
      </c>
      <c r="D12" s="9" t="str">
        <f t="shared" si="21"/>
        <v/>
      </c>
      <c r="E12" s="358"/>
      <c r="F12" s="9" t="str">
        <f t="shared" si="0"/>
        <v/>
      </c>
      <c r="G12" s="358"/>
      <c r="H12" s="9" t="str">
        <f t="shared" si="1"/>
        <v/>
      </c>
      <c r="I12" s="358"/>
      <c r="J12" s="9" t="str">
        <f t="shared" si="2"/>
        <v/>
      </c>
      <c r="K12" s="358"/>
      <c r="L12" s="9" t="str">
        <f t="shared" si="3"/>
        <v/>
      </c>
      <c r="M12" s="358"/>
      <c r="N12" s="9" t="str">
        <f t="shared" si="4"/>
        <v/>
      </c>
      <c r="O12" s="358"/>
      <c r="R12" s="361"/>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7" t="s">
        <v>3</v>
      </c>
      <c r="B13" s="17" t="str">
        <f t="shared" si="21"/>
        <v>Beinlich, Gabriele</v>
      </c>
      <c r="C13" s="18">
        <f t="shared" si="21"/>
        <v>38697</v>
      </c>
      <c r="D13" s="14">
        <f t="shared" si="21"/>
        <v>164</v>
      </c>
      <c r="E13" s="356">
        <f>IF(V13="","",V13)</f>
        <v>0</v>
      </c>
      <c r="F13" s="14">
        <f t="shared" si="0"/>
        <v>149</v>
      </c>
      <c r="G13" s="356">
        <f>IF(X13="","",X13)</f>
        <v>0</v>
      </c>
      <c r="H13" s="14">
        <f t="shared" si="1"/>
        <v>119</v>
      </c>
      <c r="I13" s="356">
        <f>IF(Z13="","",Z13)</f>
        <v>0</v>
      </c>
      <c r="J13" s="14">
        <f t="shared" si="2"/>
        <v>147</v>
      </c>
      <c r="K13" s="356">
        <f>IF(AB13="","",AB13)</f>
        <v>0</v>
      </c>
      <c r="L13" s="14">
        <f t="shared" si="3"/>
        <v>154</v>
      </c>
      <c r="M13" s="356">
        <f>IF(AD13="","",AD13)</f>
        <v>0</v>
      </c>
      <c r="N13" s="14">
        <f t="shared" si="4"/>
        <v>893</v>
      </c>
      <c r="O13" s="356">
        <f>IF(AH13="","",AH13)</f>
        <v>1</v>
      </c>
      <c r="R13" s="359" t="s">
        <v>3</v>
      </c>
      <c r="S13" s="67" t="str">
        <f>IF(T13=0,"",VLOOKUP(T13,Starter!$A$1:$D$187,2,FALSE))</f>
        <v>Beinlich, Gabriele</v>
      </c>
      <c r="T13" s="177">
        <v>38697</v>
      </c>
      <c r="U13" s="185">
        <v>164</v>
      </c>
      <c r="V13" s="95">
        <f>IF(SUM(U13:U15)+U27=0,0,IF(ABS(SUM(U13:U15))=U27,0.5,IF(ABS(SUM(U13:U15))&gt;U27,1,0)))</f>
        <v>0</v>
      </c>
      <c r="W13" s="185">
        <v>149</v>
      </c>
      <c r="X13" s="95">
        <f>IF(SUM(W13:W15)+W27=0,0,IF(ABS(SUM(W13:W15))=W27,0.5,IF(ABS(SUM(W13:W15))&gt;W27,1,0)))</f>
        <v>0</v>
      </c>
      <c r="Y13" s="185">
        <v>119</v>
      </c>
      <c r="Z13" s="95">
        <f>IF(SUM(Y13:Y15)+Y27=0,0,IF(ABS(SUM(Y13:Y15))=Y27,0.5,IF(ABS(SUM(Y13:Y15))&gt;Y27,1,0)))</f>
        <v>0</v>
      </c>
      <c r="AA13" s="185">
        <v>147</v>
      </c>
      <c r="AB13" s="95">
        <f>IF(SUM(AA13:AA15)+AA27=0,0,IF(ABS(SUM(AA13:AA15))=AA27,0.5,IF(ABS(SUM(AA13:AA15))&gt;AA27,1,0)))</f>
        <v>0</v>
      </c>
      <c r="AC13" s="185">
        <v>154</v>
      </c>
      <c r="AD13" s="95">
        <f>IF(SUM(AC13:AC15)+AC27=0,0,IF(ABS(SUM(AC13:AC15))=AC27,0.5,IF(ABS(SUM(AC13:AC15))&gt;AC27,1,0)))</f>
        <v>0</v>
      </c>
      <c r="AE13" s="185">
        <v>160</v>
      </c>
      <c r="AF13" s="95">
        <f>IF(SUM(AE13:AE15)+AE27=0,0,IF(ABS(SUM(AE13:AE15))=AE27,0.5,IF(ABS(SUM(AE13:AE15))&gt;AE27,1,0)))</f>
        <v>1</v>
      </c>
      <c r="AG13" s="194">
        <f t="shared" si="5"/>
        <v>893</v>
      </c>
      <c r="AH13" s="179">
        <f>SUM(V13+X13+Z13+AB13+AD13+AF13)</f>
        <v>1</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893</v>
      </c>
      <c r="BF13" s="223">
        <f t="shared" si="8"/>
        <v>6</v>
      </c>
      <c r="BG13" s="223">
        <f t="shared" si="9"/>
        <v>6</v>
      </c>
      <c r="BH13" s="223">
        <f t="shared" si="10"/>
        <v>164</v>
      </c>
      <c r="BI13" s="223">
        <f t="shared" si="11"/>
        <v>149</v>
      </c>
      <c r="BJ13" s="223">
        <f t="shared" si="12"/>
        <v>119</v>
      </c>
      <c r="BK13" s="223">
        <f t="shared" si="13"/>
        <v>147</v>
      </c>
      <c r="BL13" s="223">
        <f t="shared" si="14"/>
        <v>154</v>
      </c>
      <c r="BM13" s="223">
        <f t="shared" si="15"/>
        <v>160</v>
      </c>
      <c r="BN13" s="224"/>
      <c r="BO13" s="222"/>
      <c r="BP13" s="223">
        <f t="shared" si="16"/>
        <v>164</v>
      </c>
      <c r="BQ13" s="223">
        <f t="shared" si="17"/>
        <v>0</v>
      </c>
      <c r="BR13" s="223" t="str">
        <f t="shared" si="22"/>
        <v>Kleeblatt Fürth</v>
      </c>
      <c r="BS13" s="222">
        <f t="shared" si="18"/>
        <v>2</v>
      </c>
      <c r="BT13" s="223">
        <f t="shared" si="23"/>
        <v>893</v>
      </c>
      <c r="BU13" s="223">
        <f>IF(COUNTIF(BH13:BM13,"&gt;0")&lt;Spielorte!$A$23,0,BE13/Spielorte!$A$23)</f>
        <v>148.83333333333334</v>
      </c>
      <c r="BV13" s="223">
        <f t="shared" si="19"/>
        <v>0</v>
      </c>
      <c r="BW13" s="222">
        <f t="shared" si="20"/>
        <v>0</v>
      </c>
    </row>
    <row r="14" spans="1:75" ht="17.100000000000001" customHeight="1" x14ac:dyDescent="0.25">
      <c r="A14" s="378"/>
      <c r="B14" s="19" t="str">
        <f t="shared" si="21"/>
        <v/>
      </c>
      <c r="C14" s="20" t="str">
        <f t="shared" si="21"/>
        <v/>
      </c>
      <c r="D14" s="15" t="str">
        <f t="shared" si="21"/>
        <v/>
      </c>
      <c r="E14" s="357"/>
      <c r="F14" s="15" t="str">
        <f t="shared" si="0"/>
        <v/>
      </c>
      <c r="G14" s="357"/>
      <c r="H14" s="15" t="str">
        <f t="shared" si="1"/>
        <v/>
      </c>
      <c r="I14" s="357"/>
      <c r="J14" s="15" t="str">
        <f t="shared" si="2"/>
        <v/>
      </c>
      <c r="K14" s="357"/>
      <c r="L14" s="15" t="str">
        <f t="shared" si="3"/>
        <v/>
      </c>
      <c r="M14" s="357"/>
      <c r="N14" s="15" t="str">
        <f t="shared" si="4"/>
        <v/>
      </c>
      <c r="O14" s="357"/>
      <c r="R14" s="360"/>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9"/>
      <c r="B15" s="21" t="str">
        <f t="shared" si="21"/>
        <v/>
      </c>
      <c r="C15" s="22" t="str">
        <f t="shared" si="21"/>
        <v/>
      </c>
      <c r="D15" s="9" t="str">
        <f t="shared" si="21"/>
        <v/>
      </c>
      <c r="E15" s="358"/>
      <c r="F15" s="9" t="str">
        <f t="shared" si="0"/>
        <v/>
      </c>
      <c r="G15" s="358"/>
      <c r="H15" s="9" t="str">
        <f t="shared" si="1"/>
        <v/>
      </c>
      <c r="I15" s="358"/>
      <c r="J15" s="9" t="str">
        <f t="shared" si="2"/>
        <v/>
      </c>
      <c r="K15" s="358"/>
      <c r="L15" s="9" t="str">
        <f t="shared" si="3"/>
        <v/>
      </c>
      <c r="M15" s="358"/>
      <c r="N15" s="9" t="str">
        <f t="shared" si="4"/>
        <v/>
      </c>
      <c r="O15" s="358"/>
      <c r="R15" s="361"/>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7" t="s">
        <v>11</v>
      </c>
      <c r="B16" s="17" t="str">
        <f>IF(S16=0,"",S16)</f>
        <v>Hackel, Monika</v>
      </c>
      <c r="C16" s="18">
        <f t="shared" si="21"/>
        <v>38512</v>
      </c>
      <c r="D16" s="14">
        <f t="shared" si="21"/>
        <v>168</v>
      </c>
      <c r="E16" s="356">
        <f>IF(V16="","",V16)</f>
        <v>0</v>
      </c>
      <c r="F16" s="14">
        <f t="shared" si="0"/>
        <v>211</v>
      </c>
      <c r="G16" s="356">
        <f>IF(X16="","",X16)</f>
        <v>1</v>
      </c>
      <c r="H16" s="14">
        <f t="shared" si="1"/>
        <v>153</v>
      </c>
      <c r="I16" s="356">
        <f>IF(Z16="","",Z16)</f>
        <v>0</v>
      </c>
      <c r="J16" s="14">
        <f t="shared" si="2"/>
        <v>151</v>
      </c>
      <c r="K16" s="356">
        <f>IF(AB16="","",AB16)</f>
        <v>1</v>
      </c>
      <c r="L16" s="14">
        <f t="shared" si="3"/>
        <v>147</v>
      </c>
      <c r="M16" s="356">
        <f>IF(AD16="","",AD16)</f>
        <v>1</v>
      </c>
      <c r="N16" s="14">
        <f t="shared" si="4"/>
        <v>992</v>
      </c>
      <c r="O16" s="356">
        <f>IF(AH16="","",AH16)</f>
        <v>3</v>
      </c>
      <c r="R16" s="359" t="s">
        <v>11</v>
      </c>
      <c r="S16" s="67" t="str">
        <f>IF(T16=0,"",VLOOKUP(T16,Starter!$A$1:$D$187,2,FALSE))</f>
        <v>Hackel, Monika</v>
      </c>
      <c r="T16" s="177">
        <v>38512</v>
      </c>
      <c r="U16" s="185">
        <v>168</v>
      </c>
      <c r="V16" s="95">
        <f>IF(SUM(U16:U18)+U28=0,0,IF(ABS(SUM(U16:U18))=U28,0.5,IF(ABS(SUM(U16:U18))&gt;U28,1,0)))</f>
        <v>0</v>
      </c>
      <c r="W16" s="185">
        <v>211</v>
      </c>
      <c r="X16" s="95">
        <f>IF(SUM(W16:W18)+W28=0,0,IF(ABS(SUM(W16:W18))=W28,0.5,IF(ABS(SUM(W16:W18))&gt;W28,1,0)))</f>
        <v>1</v>
      </c>
      <c r="Y16" s="185">
        <v>153</v>
      </c>
      <c r="Z16" s="95">
        <f>IF(SUM(Y16:Y18)+Y28=0,0,IF(ABS(SUM(Y16:Y18))=Y28,0.5,IF(ABS(SUM(Y16:Y18))&gt;Y28,1,0)))</f>
        <v>0</v>
      </c>
      <c r="AA16" s="185">
        <v>151</v>
      </c>
      <c r="AB16" s="95">
        <f>IF(SUM(AA16:AA18)+AA28=0,0,IF(ABS(SUM(AA16:AA18))=AA28,0.5,IF(ABS(SUM(AA16:AA18))&gt;AA28,1,0)))</f>
        <v>1</v>
      </c>
      <c r="AC16" s="185">
        <v>147</v>
      </c>
      <c r="AD16" s="95">
        <f>IF(SUM(AC16:AC18)+AC28=0,0,IF(ABS(SUM(AC16:AC18))=AC28,0.5,IF(ABS(SUM(AC16:AC18))&gt;AC28,1,0)))</f>
        <v>1</v>
      </c>
      <c r="AE16" s="185">
        <v>162</v>
      </c>
      <c r="AF16" s="95">
        <f>IF(SUM(AE16:AE18)+AE28=0,0,IF(ABS(SUM(AE16:AE18))=AE28,0.5,IF(ABS(SUM(AE16:AE18))&gt;AE28,1,0)))</f>
        <v>0</v>
      </c>
      <c r="AG16" s="194">
        <f t="shared" si="5"/>
        <v>992</v>
      </c>
      <c r="AH16" s="179">
        <f>SUM(V16+X16+Z16+AB16+AD16+AF16)</f>
        <v>3</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992</v>
      </c>
      <c r="BF16" s="223">
        <f t="shared" si="8"/>
        <v>6</v>
      </c>
      <c r="BG16" s="223">
        <f t="shared" si="9"/>
        <v>6</v>
      </c>
      <c r="BH16" s="223">
        <f t="shared" si="10"/>
        <v>168</v>
      </c>
      <c r="BI16" s="223">
        <f t="shared" si="11"/>
        <v>211</v>
      </c>
      <c r="BJ16" s="223">
        <f t="shared" si="12"/>
        <v>153</v>
      </c>
      <c r="BK16" s="223">
        <f t="shared" si="13"/>
        <v>151</v>
      </c>
      <c r="BL16" s="223">
        <f t="shared" si="14"/>
        <v>147</v>
      </c>
      <c r="BM16" s="223">
        <f t="shared" si="15"/>
        <v>162</v>
      </c>
      <c r="BN16" s="224"/>
      <c r="BO16" s="222"/>
      <c r="BP16" s="223">
        <f t="shared" si="16"/>
        <v>211</v>
      </c>
      <c r="BQ16" s="223">
        <f t="shared" si="17"/>
        <v>0</v>
      </c>
      <c r="BR16" s="223" t="str">
        <f t="shared" si="22"/>
        <v>Kleeblatt Fürth</v>
      </c>
      <c r="BS16" s="222">
        <f t="shared" si="18"/>
        <v>2</v>
      </c>
      <c r="BT16" s="223">
        <f t="shared" si="23"/>
        <v>992</v>
      </c>
      <c r="BU16" s="223">
        <f>IF(COUNTIF(BH16:BM16,"&gt;0")&lt;Spielorte!$A$23,0,BE16/Spielorte!$A$23)</f>
        <v>165.33333333333334</v>
      </c>
      <c r="BV16" s="223">
        <f t="shared" si="19"/>
        <v>0</v>
      </c>
      <c r="BW16" s="222">
        <f t="shared" si="20"/>
        <v>0</v>
      </c>
    </row>
    <row r="17" spans="1:75" ht="17.100000000000001" customHeight="1" x14ac:dyDescent="0.25">
      <c r="A17" s="378"/>
      <c r="B17" s="19" t="str">
        <f>IF(S17=0,"",S17)</f>
        <v/>
      </c>
      <c r="C17" s="20" t="str">
        <f t="shared" si="21"/>
        <v/>
      </c>
      <c r="D17" s="15" t="str">
        <f t="shared" si="21"/>
        <v/>
      </c>
      <c r="E17" s="357"/>
      <c r="F17" s="15" t="str">
        <f t="shared" si="0"/>
        <v/>
      </c>
      <c r="G17" s="357"/>
      <c r="H17" s="15" t="str">
        <f t="shared" si="1"/>
        <v/>
      </c>
      <c r="I17" s="357"/>
      <c r="J17" s="15" t="str">
        <f t="shared" si="2"/>
        <v/>
      </c>
      <c r="K17" s="357"/>
      <c r="L17" s="15" t="str">
        <f t="shared" si="3"/>
        <v/>
      </c>
      <c r="M17" s="357"/>
      <c r="N17" s="15" t="str">
        <f t="shared" si="4"/>
        <v/>
      </c>
      <c r="O17" s="357"/>
      <c r="R17" s="360"/>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9"/>
      <c r="B18" s="21" t="str">
        <f>IF(S18=0,"",S18)</f>
        <v/>
      </c>
      <c r="C18" s="22" t="str">
        <f t="shared" si="21"/>
        <v/>
      </c>
      <c r="D18" s="9" t="str">
        <f t="shared" si="21"/>
        <v/>
      </c>
      <c r="E18" s="358"/>
      <c r="F18" s="9" t="str">
        <f t="shared" si="0"/>
        <v/>
      </c>
      <c r="G18" s="358"/>
      <c r="H18" s="9" t="str">
        <f t="shared" si="1"/>
        <v/>
      </c>
      <c r="I18" s="358"/>
      <c r="J18" s="9" t="str">
        <f t="shared" si="2"/>
        <v/>
      </c>
      <c r="K18" s="358"/>
      <c r="L18" s="9" t="str">
        <f t="shared" si="3"/>
        <v/>
      </c>
      <c r="M18" s="358"/>
      <c r="N18" s="9" t="str">
        <f t="shared" si="4"/>
        <v/>
      </c>
      <c r="O18" s="358"/>
      <c r="R18" s="361"/>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651</v>
      </c>
      <c r="E19" s="12">
        <f>IF(V19="","",V19)</f>
        <v>0</v>
      </c>
      <c r="F19" s="16">
        <f t="shared" si="0"/>
        <v>608</v>
      </c>
      <c r="G19" s="12">
        <f>IF(X19="","",X19)</f>
        <v>0</v>
      </c>
      <c r="H19" s="16">
        <f t="shared" si="1"/>
        <v>585</v>
      </c>
      <c r="I19" s="12">
        <f>IF(Z19="","",Z19)</f>
        <v>0</v>
      </c>
      <c r="J19" s="16">
        <f t="shared" si="2"/>
        <v>606</v>
      </c>
      <c r="K19" s="12">
        <f>IF(AB19="","",AB19)</f>
        <v>0</v>
      </c>
      <c r="L19" s="16">
        <f t="shared" si="3"/>
        <v>636</v>
      </c>
      <c r="M19" s="12">
        <f>IF(AD19="","",AD19)</f>
        <v>0</v>
      </c>
      <c r="N19" s="16">
        <f t="shared" si="4"/>
        <v>3720</v>
      </c>
      <c r="O19" s="12">
        <f>IF(AH19="","",AH19)</f>
        <v>2</v>
      </c>
      <c r="S19" s="11" t="s">
        <v>1788</v>
      </c>
      <c r="T19" s="70"/>
      <c r="U19" s="187">
        <f>ABS(SUM(U7:U9))+ABS(SUM(U10:U12))+ABS(SUM(U13:U15))+ABS(SUM(U16:U18))</f>
        <v>651</v>
      </c>
      <c r="V19" s="98">
        <f>IF(U19+U29=0,0,IF(U19=U29,1,IF(U19&gt;U29,2,0)))</f>
        <v>0</v>
      </c>
      <c r="W19" s="187">
        <f>ABS(SUM(W7:W9))+ABS(SUM(W10:W12))+ABS(SUM(W13:W15))+ABS(SUM(W16:W18))</f>
        <v>608</v>
      </c>
      <c r="X19" s="98">
        <f>IF(W19+W29=0,0,IF(W19=W29,1,IF(W19&gt;W29,2,0)))</f>
        <v>0</v>
      </c>
      <c r="Y19" s="187">
        <f>ABS(SUM(Y7:Y9))+ABS(SUM(Y10:Y12))+ABS(SUM(Y13:Y15))+ABS(SUM(Y16:Y18))</f>
        <v>585</v>
      </c>
      <c r="Z19" s="98">
        <f>IF(Y19+Y29=0,0,IF(Y19=Y29,1,IF(Y19&gt;Y29,2,0)))</f>
        <v>0</v>
      </c>
      <c r="AA19" s="187">
        <f>ABS(SUM(AA7:AA9))+ABS(SUM(AA10:AA12))+ABS(SUM(AA13:AA15))+ABS(SUM(AA16:AA18))</f>
        <v>606</v>
      </c>
      <c r="AB19" s="98">
        <f>IF(AA19+AA29=0,0,IF(AA19=AA29,1,IF(AA19&gt;AA29,2,0)))</f>
        <v>0</v>
      </c>
      <c r="AC19" s="187">
        <f>ABS(SUM(AC7:AC9))+ABS(SUM(AC10:AC12))+ABS(SUM(AC13:AC15))+ABS(SUM(AC16:AC18))</f>
        <v>636</v>
      </c>
      <c r="AD19" s="98">
        <f>IF(AC19+AC29=0,0,IF(AC19=AC29,1,IF(AC19&gt;AC29,2,0)))</f>
        <v>0</v>
      </c>
      <c r="AE19" s="187">
        <f>ABS(SUM(AE7:AE9))+ABS(SUM(AE10:AE12))+ABS(SUM(AE13:AE15))+ABS(SUM(AE16:AE18))</f>
        <v>634</v>
      </c>
      <c r="AF19" s="98">
        <f>IF(AE19+AE29=0,0,IF(AE19=AE29,1,IF(AE19&gt;AE29,2,0)))</f>
        <v>2</v>
      </c>
      <c r="AG19" s="197">
        <f>SUM(U19+W19+Y19+AA19+AC19+AE19)</f>
        <v>3720</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v>
      </c>
      <c r="F20" s="1" t="str">
        <f t="shared" si="0"/>
        <v/>
      </c>
      <c r="G20" s="23">
        <f>IF(X20="","",X20)</f>
        <v>1</v>
      </c>
      <c r="H20" s="1" t="str">
        <f t="shared" si="1"/>
        <v/>
      </c>
      <c r="I20" s="23">
        <f>IF(Z20="","",Z20)</f>
        <v>1</v>
      </c>
      <c r="J20" s="1" t="str">
        <f t="shared" si="2"/>
        <v/>
      </c>
      <c r="K20" s="23">
        <f>IF(AB20="","",AB20)</f>
        <v>2.5</v>
      </c>
      <c r="L20" s="1" t="str">
        <f t="shared" si="3"/>
        <v/>
      </c>
      <c r="M20" s="23">
        <f>IF(AD20="","",AD20)</f>
        <v>2</v>
      </c>
      <c r="N20" s="1" t="str">
        <f t="shared" si="4"/>
        <v/>
      </c>
      <c r="O20" s="23">
        <f>IF(AH20="","",AH20)</f>
        <v>12.5</v>
      </c>
      <c r="S20" s="8" t="s">
        <v>1799</v>
      </c>
      <c r="T20" s="1"/>
      <c r="U20" s="1"/>
      <c r="V20" s="71">
        <f>SUM(V7:V19)</f>
        <v>1</v>
      </c>
      <c r="W20" s="1"/>
      <c r="X20" s="71">
        <f>SUM(X7:X19)</f>
        <v>1</v>
      </c>
      <c r="Y20" s="1"/>
      <c r="Z20" s="71">
        <f>SUM(Z7:Z19)</f>
        <v>1</v>
      </c>
      <c r="AA20" s="1"/>
      <c r="AB20" s="71">
        <f>SUM(AB7:AB19)</f>
        <v>2.5</v>
      </c>
      <c r="AC20" s="1"/>
      <c r="AD20" s="71">
        <f>SUM(AD7:AD19)</f>
        <v>2</v>
      </c>
      <c r="AE20" s="1"/>
      <c r="AF20" s="71">
        <f>SUM(AF7:AF19)</f>
        <v>5</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3720</v>
      </c>
      <c r="BC20" s="222">
        <f>+S2</f>
        <v>1</v>
      </c>
      <c r="BF20" s="223">
        <f>SUM(BF1:BF19)</f>
        <v>24</v>
      </c>
      <c r="BN20" s="220">
        <f>+BB20/1000000+BA20</f>
        <v>12.50372</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4">
        <f t="shared" si="24"/>
        <v>3</v>
      </c>
      <c r="E22" s="354" t="str">
        <f t="shared" si="24"/>
        <v/>
      </c>
      <c r="F22" s="354">
        <f t="shared" si="24"/>
        <v>3</v>
      </c>
      <c r="G22" s="354" t="str">
        <f t="shared" si="24"/>
        <v/>
      </c>
      <c r="H22" s="354">
        <f t="shared" si="24"/>
        <v>3</v>
      </c>
      <c r="I22" s="354" t="str">
        <f t="shared" si="24"/>
        <v/>
      </c>
      <c r="J22" s="354">
        <f t="shared" si="24"/>
        <v>3</v>
      </c>
      <c r="K22" s="354" t="str">
        <f t="shared" si="24"/>
        <v/>
      </c>
      <c r="L22" s="354">
        <f t="shared" si="24"/>
        <v>3</v>
      </c>
      <c r="M22" s="354" t="str">
        <f t="shared" si="24"/>
        <v/>
      </c>
      <c r="N22" s="355"/>
      <c r="O22" s="355"/>
      <c r="S22" s="13" t="s">
        <v>1786</v>
      </c>
      <c r="T22" s="5" t="s">
        <v>1787</v>
      </c>
      <c r="U22" s="373">
        <f>VLOOKUP($S2,Schlüssel!$A$5:$CX$10,43)</f>
        <v>3</v>
      </c>
      <c r="V22" s="374"/>
      <c r="W22" s="373">
        <f>VLOOKUP($S2,Schlüssel!$A$5:$DQ$10,44)</f>
        <v>3</v>
      </c>
      <c r="X22" s="374"/>
      <c r="Y22" s="373">
        <f>VLOOKUP($S2,Schlüssel!$A$5:$DQ$10,45)</f>
        <v>3</v>
      </c>
      <c r="Z22" s="374"/>
      <c r="AA22" s="373">
        <f>VLOOKUP($S2,Schlüssel!$A$5:$DQ$10,46)</f>
        <v>3</v>
      </c>
      <c r="AB22" s="374"/>
      <c r="AC22" s="373">
        <f>VLOOKUP($S2,Schlüssel!$A$5:$DQ$10,47)</f>
        <v>3</v>
      </c>
      <c r="AD22" s="374"/>
      <c r="AE22" s="373">
        <f>VLOOKUP($S2,Schlüssel!$A$5:$DQ$10,48)</f>
        <v>3</v>
      </c>
      <c r="AF22" s="374"/>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1" t="str">
        <f t="shared" si="25"/>
        <v>Mainauenbowler Bayreuth Land</v>
      </c>
      <c r="E23" s="352" t="str">
        <f t="shared" si="25"/>
        <v/>
      </c>
      <c r="F23" s="351" t="str">
        <f t="shared" si="25"/>
        <v>Mainauenbowler Bayreuth Land</v>
      </c>
      <c r="G23" s="352" t="str">
        <f t="shared" si="25"/>
        <v/>
      </c>
      <c r="H23" s="351" t="str">
        <f t="shared" si="25"/>
        <v>Mainauenbowler Bayreuth Land</v>
      </c>
      <c r="I23" s="352" t="str">
        <f t="shared" si="25"/>
        <v/>
      </c>
      <c r="J23" s="351" t="str">
        <f t="shared" si="25"/>
        <v>Mainauenbowler Bayreuth Land</v>
      </c>
      <c r="K23" s="352" t="str">
        <f t="shared" si="25"/>
        <v/>
      </c>
      <c r="L23" s="351" t="str">
        <f>IF(AC23=0,"",AC23)</f>
        <v>Mainauenbowler Bayreuth Land</v>
      </c>
      <c r="M23" s="352" t="str">
        <f>IF(AD23=0,"",AD23)</f>
        <v/>
      </c>
      <c r="N23" s="353"/>
      <c r="O23" s="353"/>
      <c r="S23" s="4"/>
      <c r="T23" s="1"/>
      <c r="U23" s="351" t="str">
        <f>VLOOKUP(U22,Schlüssel!$A$5:$K$10,2)</f>
        <v>Mainauenbowler Bayreuth Land</v>
      </c>
      <c r="V23" s="352"/>
      <c r="W23" s="351" t="str">
        <f>VLOOKUP(W22,Schlüssel!$A$5:$K$10,2)</f>
        <v>Mainauenbowler Bayreuth Land</v>
      </c>
      <c r="X23" s="352"/>
      <c r="Y23" s="351" t="str">
        <f>VLOOKUP(Y22,Schlüssel!$A$5:$K$10,2)</f>
        <v>Mainauenbowler Bayreuth Land</v>
      </c>
      <c r="Z23" s="352"/>
      <c r="AA23" s="351" t="str">
        <f>VLOOKUP(AA22,Schlüssel!$A$5:$K$10,2)</f>
        <v>Mainauenbowler Bayreuth Land</v>
      </c>
      <c r="AB23" s="352"/>
      <c r="AC23" s="351" t="str">
        <f>VLOOKUP(AC22,Schlüssel!$A$5:$K$10,2)</f>
        <v>Mainauenbowler Bayreuth Land</v>
      </c>
      <c r="AD23" s="352"/>
      <c r="AE23" s="351" t="str">
        <f>VLOOKUP(AE22,Schlüssel!$A$5:$K$10,2)</f>
        <v>Mainauenbowler Bayreuth Land</v>
      </c>
      <c r="AF23" s="35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50" t="str">
        <f t="shared" si="25"/>
        <v/>
      </c>
      <c r="E24" s="350" t="str">
        <f t="shared" si="25"/>
        <v/>
      </c>
      <c r="F24" s="350" t="str">
        <f t="shared" si="25"/>
        <v/>
      </c>
      <c r="G24" s="350" t="str">
        <f t="shared" si="25"/>
        <v/>
      </c>
      <c r="H24" s="350" t="str">
        <f t="shared" si="25"/>
        <v/>
      </c>
      <c r="I24" s="350" t="str">
        <f t="shared" si="25"/>
        <v/>
      </c>
      <c r="J24" s="350" t="str">
        <f t="shared" si="25"/>
        <v/>
      </c>
      <c r="K24" s="350" t="str">
        <f t="shared" si="25"/>
        <v/>
      </c>
      <c r="L24" s="350" t="str">
        <f>IF(AC24=0,"",AC24)</f>
        <v/>
      </c>
      <c r="M24" s="350"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5" t="str">
        <f t="shared" ref="B25:C29" si="26">IF(S25=0,"",S25)</f>
        <v>Spieler 1</v>
      </c>
      <c r="C25" s="376" t="str">
        <f t="shared" si="26"/>
        <v/>
      </c>
      <c r="D25" s="348">
        <f>IF(U25=301,"",U25)</f>
        <v>125</v>
      </c>
      <c r="E25" s="348" t="str">
        <f>IF(V25=0,"",V25)</f>
        <v/>
      </c>
      <c r="F25" s="348">
        <f>IF(W25=301,"",W25)</f>
        <v>146</v>
      </c>
      <c r="G25" s="348" t="str">
        <f>IF(X25=0,"",X25)</f>
        <v/>
      </c>
      <c r="H25" s="348">
        <f>IF(Y25=301,"",Y25)</f>
        <v>124</v>
      </c>
      <c r="I25" s="348" t="str">
        <f>IF(Z25=0,"",Z25)</f>
        <v/>
      </c>
      <c r="J25" s="348">
        <f>IF(AA25=301,"",AA25)</f>
        <v>156</v>
      </c>
      <c r="K25" s="348" t="str">
        <f>IF(AB25=0,"",AB25)</f>
        <v/>
      </c>
      <c r="L25" s="348">
        <f>IF(AC25=301,"",AC25)</f>
        <v>162</v>
      </c>
      <c r="M25" s="348" t="str">
        <f>IF(AD25=0,"",AD25)</f>
        <v/>
      </c>
      <c r="N25" s="349"/>
      <c r="O25" s="349"/>
      <c r="S25" s="35" t="s">
        <v>0</v>
      </c>
      <c r="T25" s="36"/>
      <c r="U25" s="371">
        <f>ABS(INDEX(U:U,MATCH(U22,$S:$S,0)+5)+INDEX(U:U,MATCH(U22,$S:$S,0)+6)+INDEX(U:U,MATCH(U22,$S:$S,0)+7))</f>
        <v>125</v>
      </c>
      <c r="V25" s="372"/>
      <c r="W25" s="371">
        <f>ABS(INDEX(W:W,MATCH(W22,$S:$S,0)+5)+INDEX(W:W,MATCH(W22,$S:$S,0)+6)+INDEX(W:W,MATCH(W22,$S:$S,0)+7))</f>
        <v>146</v>
      </c>
      <c r="X25" s="372"/>
      <c r="Y25" s="371">
        <f>ABS(INDEX(Y:Y,MATCH(Y22,$S:$S,0)+5)+INDEX(Y:Y,MATCH(Y22,$S:$S,0)+6)+INDEX(Y:Y,MATCH(Y22,$S:$S,0)+7))</f>
        <v>124</v>
      </c>
      <c r="Z25" s="372"/>
      <c r="AA25" s="371">
        <f>ABS(INDEX(AA:AA,MATCH(AA22,$S:$S,0)+5)+INDEX(AA:AA,MATCH(AA22,$S:$S,0)+6)+INDEX(AA:AA,MATCH(AA22,$S:$S,0)+7))</f>
        <v>156</v>
      </c>
      <c r="AB25" s="372"/>
      <c r="AC25" s="371">
        <f>ABS(INDEX(AC:AC,MATCH(AC22,$S:$S,0)+5)+INDEX(AC:AC,MATCH(AC22,$S:$S,0)+6)+INDEX(AC:AC,MATCH(AC22,$S:$S,0)+7))</f>
        <v>162</v>
      </c>
      <c r="AD25" s="372"/>
      <c r="AE25" s="371">
        <f>ABS(INDEX(AE:AE,MATCH(AE22,$S:$S,0)+5)+INDEX(AE:AE,MATCH(AE22,$S:$S,0)+6)+INDEX(AE:AE,MATCH(AE22,$S:$S,0)+7))</f>
        <v>116</v>
      </c>
      <c r="AF25" s="372"/>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5" t="str">
        <f t="shared" si="26"/>
        <v>Spieler 2</v>
      </c>
      <c r="C26" s="376" t="str">
        <f t="shared" si="26"/>
        <v/>
      </c>
      <c r="D26" s="348">
        <f>IF(U26=301,"",U26)</f>
        <v>172</v>
      </c>
      <c r="E26" s="348" t="str">
        <f>IF(V26=0,"",V26)</f>
        <v/>
      </c>
      <c r="F26" s="348">
        <f>IF(W26=301,"",W26)</f>
        <v>139</v>
      </c>
      <c r="G26" s="348" t="str">
        <f>IF(X26=0,"",X26)</f>
        <v/>
      </c>
      <c r="H26" s="348">
        <f>IF(Y26=301,"",Y26)</f>
        <v>168</v>
      </c>
      <c r="I26" s="348" t="str">
        <f>IF(Z26=0,"",Z26)</f>
        <v/>
      </c>
      <c r="J26" s="348">
        <f>IF(AA26=301,"",AA26)</f>
        <v>151</v>
      </c>
      <c r="K26" s="348" t="str">
        <f>IF(AB26=0,"",AB26)</f>
        <v/>
      </c>
      <c r="L26" s="348">
        <f>IF(AC26=301,"",AC26)</f>
        <v>202</v>
      </c>
      <c r="M26" s="348" t="str">
        <f>IF(AD26=0,"",AD26)</f>
        <v/>
      </c>
      <c r="N26" s="349"/>
      <c r="O26" s="349"/>
      <c r="S26" s="35" t="s">
        <v>2</v>
      </c>
      <c r="T26" s="36"/>
      <c r="U26" s="369">
        <f>ABS(INDEX(U:U,MATCH(U22,$S:$S,0)+8)+INDEX(U:U,MATCH(U22,$S:$S,0)+9)+INDEX(U:U,MATCH(U22,$S:$S,0)+10))</f>
        <v>172</v>
      </c>
      <c r="V26" s="370"/>
      <c r="W26" s="369">
        <f>ABS(INDEX(W:W,MATCH(W22,$S:$S,0)+8)+INDEX(W:W,MATCH(W22,$S:$S,0)+9)+INDEX(W:W,MATCH(W22,$S:$S,0)+10))</f>
        <v>139</v>
      </c>
      <c r="X26" s="370"/>
      <c r="Y26" s="369">
        <f>ABS(INDEX(Y:Y,MATCH(Y22,$S:$S,0)+8)+INDEX(Y:Y,MATCH(Y22,$S:$S,0)+9)+INDEX(Y:Y,MATCH(Y22,$S:$S,0)+10))</f>
        <v>168</v>
      </c>
      <c r="Z26" s="370"/>
      <c r="AA26" s="369">
        <f>ABS(INDEX(AA:AA,MATCH(AA22,$S:$S,0)+8)+INDEX(AA:AA,MATCH(AA22,$S:$S,0)+9)+INDEX(AA:AA,MATCH(AA22,$S:$S,0)+10))</f>
        <v>151</v>
      </c>
      <c r="AB26" s="370"/>
      <c r="AC26" s="369">
        <f>ABS(INDEX(AC:AC,MATCH(AC22,$S:$S,0)+8)+INDEX(AC:AC,MATCH(AC22,$S:$S,0)+9)+INDEX(AC:AC,MATCH(AC22,$S:$S,0)+10))</f>
        <v>202</v>
      </c>
      <c r="AD26" s="370"/>
      <c r="AE26" s="369">
        <f>ABS(INDEX(AE:AE,MATCH(AE22,$S:$S,0)+8)+INDEX(AE:AE,MATCH(AE22,$S:$S,0)+9)+INDEX(AE:AE,MATCH(AE22,$S:$S,0)+10))</f>
        <v>136</v>
      </c>
      <c r="AF26" s="370"/>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5" t="str">
        <f t="shared" si="26"/>
        <v>Spieler 3</v>
      </c>
      <c r="C27" s="376" t="str">
        <f t="shared" si="26"/>
        <v/>
      </c>
      <c r="D27" s="348">
        <f>IF(U27=301,"",U27)</f>
        <v>234</v>
      </c>
      <c r="E27" s="348" t="str">
        <f>IF(V27=0,"",V27)</f>
        <v/>
      </c>
      <c r="F27" s="348">
        <f>IF(W27=301,"",W27)</f>
        <v>215</v>
      </c>
      <c r="G27" s="348" t="str">
        <f>IF(X27=0,"",X27)</f>
        <v/>
      </c>
      <c r="H27" s="348">
        <f>IF(Y27=301,"",Y27)</f>
        <v>175</v>
      </c>
      <c r="I27" s="348" t="str">
        <f>IF(Z27=0,"",Z27)</f>
        <v/>
      </c>
      <c r="J27" s="348">
        <f>IF(AA27=301,"",AA27)</f>
        <v>181</v>
      </c>
      <c r="K27" s="348" t="str">
        <f>IF(AB27=0,"",AB27)</f>
        <v/>
      </c>
      <c r="L27" s="348">
        <f>IF(AC27=301,"",AC27)</f>
        <v>180</v>
      </c>
      <c r="M27" s="348" t="str">
        <f>IF(AD27=0,"",AD27)</f>
        <v/>
      </c>
      <c r="N27" s="349"/>
      <c r="O27" s="349"/>
      <c r="S27" s="35" t="s">
        <v>3</v>
      </c>
      <c r="T27" s="36"/>
      <c r="U27" s="369">
        <f>ABS(INDEX(U:U,MATCH(U22,$S:$S,0)+11)+INDEX(U:U,MATCH(U22,$S:$S,0)+12)+INDEX(U:U,MATCH(U22,$S:$S,0)+13))</f>
        <v>234</v>
      </c>
      <c r="V27" s="370"/>
      <c r="W27" s="369">
        <f>ABS(INDEX(W:W,MATCH(W22,$S:$S,0)+11)+INDEX(W:W,MATCH(W22,$S:$S,0)+12)+INDEX(W:W,MATCH(W22,$S:$S,0)+13))</f>
        <v>215</v>
      </c>
      <c r="X27" s="370"/>
      <c r="Y27" s="369">
        <f>ABS(INDEX(Y:Y,MATCH(Y22,$S:$S,0)+11)+INDEX(Y:Y,MATCH(Y22,$S:$S,0)+12)+INDEX(Y:Y,MATCH(Y22,$S:$S,0)+13))</f>
        <v>175</v>
      </c>
      <c r="Z27" s="370"/>
      <c r="AA27" s="369">
        <f>ABS(INDEX(AA:AA,MATCH(AA22,$S:$S,0)+11)+INDEX(AA:AA,MATCH(AA22,$S:$S,0)+12)+INDEX(AA:AA,MATCH(AA22,$S:$S,0)+13))</f>
        <v>181</v>
      </c>
      <c r="AB27" s="370"/>
      <c r="AC27" s="369">
        <f>ABS(INDEX(AC:AC,MATCH(AC22,$S:$S,0)+11)+INDEX(AC:AC,MATCH(AC22,$S:$S,0)+12)+INDEX(AC:AC,MATCH(AC22,$S:$S,0)+13))</f>
        <v>180</v>
      </c>
      <c r="AD27" s="370"/>
      <c r="AE27" s="369">
        <f>ABS(INDEX(AE:AE,MATCH(AE22,$S:$S,0)+11)+INDEX(AE:AE,MATCH(AE22,$S:$S,0)+12)+INDEX(AE:AE,MATCH(AE22,$S:$S,0)+13))</f>
        <v>136</v>
      </c>
      <c r="AF27" s="370"/>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5" t="str">
        <f t="shared" si="26"/>
        <v>Spieler 4</v>
      </c>
      <c r="C28" s="376" t="str">
        <f t="shared" si="26"/>
        <v/>
      </c>
      <c r="D28" s="348">
        <f>IF(U28=301,"",U28)</f>
        <v>170</v>
      </c>
      <c r="E28" s="348" t="str">
        <f>IF(V28=0,"",V28)</f>
        <v/>
      </c>
      <c r="F28" s="348">
        <f>IF(W28=301,"",W28)</f>
        <v>168</v>
      </c>
      <c r="G28" s="348" t="str">
        <f>IF(X28=0,"",X28)</f>
        <v/>
      </c>
      <c r="H28" s="348">
        <f>IF(Y28=301,"",Y28)</f>
        <v>190</v>
      </c>
      <c r="I28" s="348" t="str">
        <f>IF(Z28=0,"",Z28)</f>
        <v/>
      </c>
      <c r="J28" s="348">
        <f>IF(AA28=301,"",AA28)</f>
        <v>134</v>
      </c>
      <c r="K28" s="348" t="str">
        <f>IF(AB28=0,"",AB28)</f>
        <v/>
      </c>
      <c r="L28" s="348">
        <f>IF(AC28=301,"",AC28)</f>
        <v>132</v>
      </c>
      <c r="M28" s="348" t="str">
        <f>IF(AD28=0,"",AD28)</f>
        <v/>
      </c>
      <c r="N28" s="349"/>
      <c r="O28" s="349"/>
      <c r="S28" s="35" t="s">
        <v>11</v>
      </c>
      <c r="T28" s="36"/>
      <c r="U28" s="369">
        <f>ABS(INDEX(U:U,MATCH(U22,$S:$S,0)+14)+INDEX(U:U,MATCH(U22,$S:$S,0)+15)+INDEX(U:U,MATCH(U22,$S:$S,0)+16))</f>
        <v>170</v>
      </c>
      <c r="V28" s="370"/>
      <c r="W28" s="369">
        <f>ABS(INDEX(W:W,MATCH(W22,$S:$S,0)+14)+INDEX(W:W,MATCH(W22,$S:$S,0)+15)+INDEX(W:W,MATCH(W22,$S:$S,0)+16))</f>
        <v>168</v>
      </c>
      <c r="X28" s="370"/>
      <c r="Y28" s="369">
        <f>ABS(INDEX(Y:Y,MATCH(Y22,$S:$S,0)+14)+INDEX(Y:Y,MATCH(Y22,$S:$S,0)+15)+INDEX(Y:Y,MATCH(Y22,$S:$S,0)+16))</f>
        <v>190</v>
      </c>
      <c r="Z28" s="370"/>
      <c r="AA28" s="369">
        <f>ABS(INDEX(AA:AA,MATCH(AA22,$S:$S,0)+14)+INDEX(AA:AA,MATCH(AA22,$S:$S,0)+15)+INDEX(AA:AA,MATCH(AA22,$S:$S,0)+16))</f>
        <v>134</v>
      </c>
      <c r="AB28" s="370"/>
      <c r="AC28" s="369">
        <f>ABS(INDEX(AC:AC,MATCH(AC22,$S:$S,0)+14)+INDEX(AC:AC,MATCH(AC22,$S:$S,0)+15)+INDEX(AC:AC,MATCH(AC22,$S:$S,0)+16))</f>
        <v>132</v>
      </c>
      <c r="AD28" s="370"/>
      <c r="AE28" s="369">
        <f>ABS(INDEX(AE:AE,MATCH(AE22,$S:$S,0)+14)+INDEX(AE:AE,MATCH(AE22,$S:$S,0)+15)+INDEX(AE:AE,MATCH(AE22,$S:$S,0)+16))</f>
        <v>187</v>
      </c>
      <c r="AF28" s="370"/>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3" t="str">
        <f t="shared" si="26"/>
        <v>Gesamt</v>
      </c>
      <c r="C29" s="364" t="str">
        <f t="shared" si="26"/>
        <v/>
      </c>
      <c r="D29" s="347">
        <f>IF(U29=1505,"",U29)</f>
        <v>701</v>
      </c>
      <c r="E29" s="347" t="str">
        <f>IF(V29=0,"",V29)</f>
        <v/>
      </c>
      <c r="F29" s="347">
        <f>IF(W29=1505,"",W29)</f>
        <v>668</v>
      </c>
      <c r="G29" s="347" t="str">
        <f>IF(X29=0,"",X29)</f>
        <v/>
      </c>
      <c r="H29" s="347">
        <f>IF(Y29=1505,"",Y29)</f>
        <v>657</v>
      </c>
      <c r="I29" s="347" t="str">
        <f>IF(Z29=0,"",Z29)</f>
        <v/>
      </c>
      <c r="J29" s="347">
        <f>IF(AA29=1505,"",AA29)</f>
        <v>622</v>
      </c>
      <c r="K29" s="347" t="str">
        <f>IF(AB29=0,"",AB29)</f>
        <v/>
      </c>
      <c r="L29" s="347">
        <f>IF(AC29=1505,"",AC29)</f>
        <v>676</v>
      </c>
      <c r="M29" s="347" t="str">
        <f>IF(AD29=0,"",AD29)</f>
        <v/>
      </c>
      <c r="N29" s="312"/>
      <c r="O29" s="312"/>
      <c r="S29" s="37" t="s">
        <v>1788</v>
      </c>
      <c r="T29" s="38"/>
      <c r="U29" s="363">
        <f>SUM(U25:U28)</f>
        <v>701</v>
      </c>
      <c r="V29" s="364"/>
      <c r="W29" s="363">
        <f>SUM(W25:W28)</f>
        <v>668</v>
      </c>
      <c r="X29" s="364"/>
      <c r="Y29" s="363">
        <f>SUM(Y25:Y28)</f>
        <v>657</v>
      </c>
      <c r="Z29" s="364"/>
      <c r="AA29" s="363">
        <f>SUM(AA25:AA28)</f>
        <v>622</v>
      </c>
      <c r="AB29" s="364"/>
      <c r="AC29" s="363">
        <f>SUM(AC25:AC28)</f>
        <v>676</v>
      </c>
      <c r="AD29" s="364"/>
      <c r="AE29" s="363">
        <f>SUM(AE25:AE28)</f>
        <v>575</v>
      </c>
      <c r="AF29" s="364"/>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80" t="str">
        <f>AD31</f>
        <v>16.02.</v>
      </c>
      <c r="N31" s="380"/>
      <c r="O31" s="380"/>
      <c r="P31" s="381"/>
      <c r="Q31" s="381"/>
      <c r="R31" s="381"/>
      <c r="S31" s="7" t="s">
        <v>1798</v>
      </c>
      <c r="T31" s="25"/>
      <c r="U31" s="30" t="s">
        <v>1782</v>
      </c>
      <c r="V31" s="76" t="str">
        <f>Schlüssel!$C$1</f>
        <v>Landesliga Nord Frauen</v>
      </c>
      <c r="X31" s="25"/>
      <c r="Y31" s="25"/>
      <c r="Z31" s="25"/>
      <c r="AA31" s="25"/>
      <c r="AC31" s="29"/>
      <c r="AD31" s="362" t="str">
        <f>Schlüssel!$BA$1</f>
        <v>16.02.</v>
      </c>
      <c r="AE31" s="362"/>
      <c r="AF31" s="362"/>
      <c r="AG31" s="362"/>
      <c r="AH31" s="362"/>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5">
      <c r="B35" s="40" t="s">
        <v>1</v>
      </c>
      <c r="C35" s="41"/>
      <c r="D35" s="363" t="s">
        <v>1789</v>
      </c>
      <c r="E35" s="364"/>
      <c r="F35" s="363" t="s">
        <v>1790</v>
      </c>
      <c r="G35" s="364"/>
      <c r="H35" s="363" t="s">
        <v>1791</v>
      </c>
      <c r="I35" s="364"/>
      <c r="J35" s="363" t="s">
        <v>1792</v>
      </c>
      <c r="K35" s="364"/>
      <c r="L35" s="363" t="s">
        <v>1793</v>
      </c>
      <c r="M35" s="364"/>
      <c r="N35" s="365" t="s">
        <v>1788</v>
      </c>
      <c r="O35" s="366"/>
      <c r="S35" s="40" t="s">
        <v>1</v>
      </c>
      <c r="T35" s="41"/>
      <c r="U35" s="363" t="s">
        <v>1789</v>
      </c>
      <c r="V35" s="364"/>
      <c r="W35" s="363" t="s">
        <v>1790</v>
      </c>
      <c r="X35" s="364"/>
      <c r="Y35" s="363" t="s">
        <v>1791</v>
      </c>
      <c r="Z35" s="364"/>
      <c r="AA35" s="363" t="s">
        <v>1792</v>
      </c>
      <c r="AB35" s="364"/>
      <c r="AC35" s="363" t="s">
        <v>1793</v>
      </c>
      <c r="AD35" s="368"/>
      <c r="AE35" s="363" t="s">
        <v>2088</v>
      </c>
      <c r="AF35" s="368"/>
      <c r="AG35" s="367" t="s">
        <v>1788</v>
      </c>
      <c r="AH35" s="36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7" t="s">
        <v>0</v>
      </c>
      <c r="B37" s="17" t="str">
        <f>IF(S37=0,"",S37)</f>
        <v/>
      </c>
      <c r="C37" s="18" t="str">
        <f>IF(T37=0,"",T37)</f>
        <v/>
      </c>
      <c r="D37" s="14" t="str">
        <f>IF(U37=0,"",U37)</f>
        <v/>
      </c>
      <c r="E37" s="356" t="e">
        <f>IF(V37="","",V37)</f>
        <v>#N/A</v>
      </c>
      <c r="F37" s="14" t="str">
        <f t="shared" ref="F37:F50" si="27">IF(W37=0,"",W37)</f>
        <v/>
      </c>
      <c r="G37" s="356" t="e">
        <f>IF(X37="","",X37)</f>
        <v>#N/A</v>
      </c>
      <c r="H37" s="14" t="str">
        <f t="shared" ref="H37:H50" si="28">IF(Y37=0,"",Y37)</f>
        <v/>
      </c>
      <c r="I37" s="356" t="e">
        <f>IF(Z37="","",Z37)</f>
        <v>#N/A</v>
      </c>
      <c r="J37" s="14" t="str">
        <f t="shared" ref="J37:J50" si="29">IF(AA37=0,"",AA37)</f>
        <v/>
      </c>
      <c r="K37" s="356" t="e">
        <f>IF(AB37="","",AB37)</f>
        <v>#N/A</v>
      </c>
      <c r="L37" s="14" t="str">
        <f t="shared" ref="L37:L50" si="30">IF(AC37=0,"",AC37)</f>
        <v/>
      </c>
      <c r="M37" s="356" t="e">
        <f>IF(AD37="","",AD37)</f>
        <v>#N/A</v>
      </c>
      <c r="N37" s="14" t="str">
        <f t="shared" ref="N37:N50" si="31">IF(AG37=0,"",AG37)</f>
        <v/>
      </c>
      <c r="O37" s="356" t="e">
        <f>IF(AH37="","",AH37)</f>
        <v>#N/A</v>
      </c>
      <c r="R37" s="359"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2</v>
      </c>
      <c r="BT37" s="223">
        <f>SUMIF(BH37:BM37,"&gt;0")</f>
        <v>0</v>
      </c>
      <c r="BU37" s="223">
        <f>IF(COUNTIF(BH37:BM37,"&gt;0")&lt;Spielorte!$A$23,0,BE37/Spielorte!$A$23)</f>
        <v>0</v>
      </c>
      <c r="BV37" s="223">
        <f t="shared" ref="BV37:BV48" si="46">IF(BU37&lt;MAX(BU:BU),0,BU37+ROW()/1000000000)</f>
        <v>0</v>
      </c>
      <c r="BW37" s="222">
        <f t="shared" ref="BW37:BW48" si="47">IF(BV37=0,0,RANK(BV37,BV:BV))</f>
        <v>0</v>
      </c>
    </row>
    <row r="38" spans="1:75" ht="17.100000000000001" customHeight="1" x14ac:dyDescent="0.25">
      <c r="A38" s="378"/>
      <c r="B38" s="19" t="str">
        <f t="shared" ref="B38:D50" si="48">IF(S38=0,"",S38)</f>
        <v/>
      </c>
      <c r="C38" s="20" t="str">
        <f t="shared" si="48"/>
        <v/>
      </c>
      <c r="D38" s="15" t="str">
        <f t="shared" si="48"/>
        <v/>
      </c>
      <c r="E38" s="357"/>
      <c r="F38" s="15" t="str">
        <f t="shared" si="27"/>
        <v/>
      </c>
      <c r="G38" s="357"/>
      <c r="H38" s="15" t="str">
        <f t="shared" si="28"/>
        <v/>
      </c>
      <c r="I38" s="357"/>
      <c r="J38" s="15" t="str">
        <f t="shared" si="29"/>
        <v/>
      </c>
      <c r="K38" s="357"/>
      <c r="L38" s="15" t="str">
        <f t="shared" si="30"/>
        <v/>
      </c>
      <c r="M38" s="357"/>
      <c r="N38" s="15" t="str">
        <f t="shared" si="31"/>
        <v/>
      </c>
      <c r="O38" s="357"/>
      <c r="R38" s="360"/>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9"/>
      <c r="B39" s="21" t="str">
        <f t="shared" si="48"/>
        <v/>
      </c>
      <c r="C39" s="22" t="str">
        <f t="shared" si="48"/>
        <v/>
      </c>
      <c r="D39" s="9" t="str">
        <f t="shared" si="48"/>
        <v/>
      </c>
      <c r="E39" s="358"/>
      <c r="F39" s="9" t="str">
        <f t="shared" si="27"/>
        <v/>
      </c>
      <c r="G39" s="358"/>
      <c r="H39" s="9" t="str">
        <f t="shared" si="28"/>
        <v/>
      </c>
      <c r="I39" s="358"/>
      <c r="J39" s="9" t="str">
        <f t="shared" si="29"/>
        <v/>
      </c>
      <c r="K39" s="358"/>
      <c r="L39" s="9" t="str">
        <f t="shared" si="30"/>
        <v/>
      </c>
      <c r="M39" s="358"/>
      <c r="N39" s="9" t="str">
        <f t="shared" si="31"/>
        <v/>
      </c>
      <c r="O39" s="358"/>
      <c r="R39" s="361"/>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7" t="s">
        <v>2</v>
      </c>
      <c r="B40" s="17" t="str">
        <f t="shared" si="48"/>
        <v/>
      </c>
      <c r="C40" s="18" t="str">
        <f t="shared" si="48"/>
        <v/>
      </c>
      <c r="D40" s="14" t="str">
        <f t="shared" si="48"/>
        <v/>
      </c>
      <c r="E40" s="356" t="e">
        <f>IF(V40="","",V40)</f>
        <v>#N/A</v>
      </c>
      <c r="F40" s="14" t="str">
        <f t="shared" si="27"/>
        <v/>
      </c>
      <c r="G40" s="356" t="e">
        <f>IF(X40="","",X40)</f>
        <v>#N/A</v>
      </c>
      <c r="H40" s="14" t="str">
        <f t="shared" si="28"/>
        <v/>
      </c>
      <c r="I40" s="356" t="e">
        <f>IF(Z40="","",Z40)</f>
        <v>#N/A</v>
      </c>
      <c r="J40" s="14" t="str">
        <f t="shared" si="29"/>
        <v/>
      </c>
      <c r="K40" s="356" t="e">
        <f>IF(AB40="","",AB40)</f>
        <v>#N/A</v>
      </c>
      <c r="L40" s="14" t="str">
        <f t="shared" si="30"/>
        <v/>
      </c>
      <c r="M40" s="356" t="e">
        <f>IF(AD40="","",AD40)</f>
        <v>#N/A</v>
      </c>
      <c r="N40" s="14" t="str">
        <f t="shared" si="31"/>
        <v/>
      </c>
      <c r="O40" s="356" t="e">
        <f>IF(AH40="","",AH40)</f>
        <v>#N/A</v>
      </c>
      <c r="R40" s="359"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2</v>
      </c>
      <c r="BT40" s="223">
        <f t="shared" si="50"/>
        <v>0</v>
      </c>
      <c r="BU40" s="223">
        <f>IF(COUNTIF(BH40:BM40,"&gt;0")&lt;Spielorte!$A$23,0,BE40/Spielorte!$A$23)</f>
        <v>0</v>
      </c>
      <c r="BV40" s="223">
        <f t="shared" si="46"/>
        <v>0</v>
      </c>
      <c r="BW40" s="222">
        <f t="shared" si="47"/>
        <v>0</v>
      </c>
    </row>
    <row r="41" spans="1:75" ht="17.100000000000001" customHeight="1" x14ac:dyDescent="0.25">
      <c r="A41" s="378"/>
      <c r="B41" s="19" t="str">
        <f t="shared" si="48"/>
        <v/>
      </c>
      <c r="C41" s="20" t="str">
        <f t="shared" si="48"/>
        <v/>
      </c>
      <c r="D41" s="15" t="str">
        <f t="shared" si="48"/>
        <v/>
      </c>
      <c r="E41" s="357"/>
      <c r="F41" s="15" t="str">
        <f t="shared" si="27"/>
        <v/>
      </c>
      <c r="G41" s="357"/>
      <c r="H41" s="15" t="str">
        <f t="shared" si="28"/>
        <v/>
      </c>
      <c r="I41" s="357"/>
      <c r="J41" s="15" t="str">
        <f t="shared" si="29"/>
        <v/>
      </c>
      <c r="K41" s="357"/>
      <c r="L41" s="15" t="str">
        <f t="shared" si="30"/>
        <v/>
      </c>
      <c r="M41" s="357"/>
      <c r="N41" s="15" t="str">
        <f t="shared" si="31"/>
        <v/>
      </c>
      <c r="O41" s="357"/>
      <c r="R41" s="360"/>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9"/>
      <c r="B42" s="21" t="str">
        <f t="shared" si="48"/>
        <v/>
      </c>
      <c r="C42" s="22" t="str">
        <f t="shared" si="48"/>
        <v/>
      </c>
      <c r="D42" s="9" t="str">
        <f t="shared" si="48"/>
        <v/>
      </c>
      <c r="E42" s="358"/>
      <c r="F42" s="9" t="str">
        <f t="shared" si="27"/>
        <v/>
      </c>
      <c r="G42" s="358"/>
      <c r="H42" s="9" t="str">
        <f t="shared" si="28"/>
        <v/>
      </c>
      <c r="I42" s="358"/>
      <c r="J42" s="9" t="str">
        <f t="shared" si="29"/>
        <v/>
      </c>
      <c r="K42" s="358"/>
      <c r="L42" s="9" t="str">
        <f t="shared" si="30"/>
        <v/>
      </c>
      <c r="M42" s="358"/>
      <c r="N42" s="9" t="str">
        <f t="shared" si="31"/>
        <v/>
      </c>
      <c r="O42" s="358"/>
      <c r="R42" s="361"/>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7" t="s">
        <v>3</v>
      </c>
      <c r="B43" s="17" t="str">
        <f t="shared" si="48"/>
        <v/>
      </c>
      <c r="C43" s="18" t="str">
        <f t="shared" si="48"/>
        <v/>
      </c>
      <c r="D43" s="14" t="str">
        <f t="shared" si="48"/>
        <v/>
      </c>
      <c r="E43" s="356" t="e">
        <f>IF(V43="","",V43)</f>
        <v>#N/A</v>
      </c>
      <c r="F43" s="14" t="str">
        <f t="shared" si="27"/>
        <v/>
      </c>
      <c r="G43" s="356" t="e">
        <f>IF(X43="","",X43)</f>
        <v>#N/A</v>
      </c>
      <c r="H43" s="14" t="str">
        <f t="shared" si="28"/>
        <v/>
      </c>
      <c r="I43" s="356" t="e">
        <f>IF(Z43="","",Z43)</f>
        <v>#N/A</v>
      </c>
      <c r="J43" s="14" t="str">
        <f t="shared" si="29"/>
        <v/>
      </c>
      <c r="K43" s="356" t="e">
        <f>IF(AB43="","",AB43)</f>
        <v>#N/A</v>
      </c>
      <c r="L43" s="14" t="str">
        <f t="shared" si="30"/>
        <v/>
      </c>
      <c r="M43" s="356" t="e">
        <f>IF(AD43="","",AD43)</f>
        <v>#N/A</v>
      </c>
      <c r="N43" s="14" t="str">
        <f t="shared" si="31"/>
        <v/>
      </c>
      <c r="O43" s="356" t="e">
        <f>IF(AH43="","",AH43)</f>
        <v>#N/A</v>
      </c>
      <c r="R43" s="359"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2</v>
      </c>
      <c r="BT43" s="223">
        <f t="shared" si="50"/>
        <v>0</v>
      </c>
      <c r="BU43" s="223">
        <f>IF(COUNTIF(BH43:BM43,"&gt;0")&lt;Spielorte!$A$23,0,BE43/Spielorte!$A$23)</f>
        <v>0</v>
      </c>
      <c r="BV43" s="223">
        <f t="shared" si="46"/>
        <v>0</v>
      </c>
      <c r="BW43" s="222">
        <f t="shared" si="47"/>
        <v>0</v>
      </c>
    </row>
    <row r="44" spans="1:75" ht="17.100000000000001" customHeight="1" x14ac:dyDescent="0.25">
      <c r="A44" s="378"/>
      <c r="B44" s="19" t="str">
        <f t="shared" si="48"/>
        <v/>
      </c>
      <c r="C44" s="20" t="str">
        <f t="shared" si="48"/>
        <v/>
      </c>
      <c r="D44" s="15" t="str">
        <f t="shared" si="48"/>
        <v/>
      </c>
      <c r="E44" s="357"/>
      <c r="F44" s="15" t="str">
        <f t="shared" si="27"/>
        <v/>
      </c>
      <c r="G44" s="357"/>
      <c r="H44" s="15" t="str">
        <f t="shared" si="28"/>
        <v/>
      </c>
      <c r="I44" s="357"/>
      <c r="J44" s="15" t="str">
        <f t="shared" si="29"/>
        <v/>
      </c>
      <c r="K44" s="357"/>
      <c r="L44" s="15" t="str">
        <f t="shared" si="30"/>
        <v/>
      </c>
      <c r="M44" s="357"/>
      <c r="N44" s="15" t="str">
        <f t="shared" si="31"/>
        <v/>
      </c>
      <c r="O44" s="357"/>
      <c r="R44" s="360"/>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9"/>
      <c r="B45" s="21" t="str">
        <f t="shared" si="48"/>
        <v/>
      </c>
      <c r="C45" s="22" t="str">
        <f t="shared" si="48"/>
        <v/>
      </c>
      <c r="D45" s="9" t="str">
        <f t="shared" si="48"/>
        <v/>
      </c>
      <c r="E45" s="358"/>
      <c r="F45" s="9" t="str">
        <f t="shared" si="27"/>
        <v/>
      </c>
      <c r="G45" s="358"/>
      <c r="H45" s="9" t="str">
        <f t="shared" si="28"/>
        <v/>
      </c>
      <c r="I45" s="358"/>
      <c r="J45" s="9" t="str">
        <f t="shared" si="29"/>
        <v/>
      </c>
      <c r="K45" s="358"/>
      <c r="L45" s="9" t="str">
        <f t="shared" si="30"/>
        <v/>
      </c>
      <c r="M45" s="358"/>
      <c r="N45" s="9" t="str">
        <f t="shared" si="31"/>
        <v/>
      </c>
      <c r="O45" s="358"/>
      <c r="R45" s="361"/>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7" t="s">
        <v>11</v>
      </c>
      <c r="B46" s="17" t="str">
        <f>IF(S46=0,"",S46)</f>
        <v/>
      </c>
      <c r="C46" s="18" t="str">
        <f t="shared" si="48"/>
        <v/>
      </c>
      <c r="D46" s="14" t="str">
        <f t="shared" si="48"/>
        <v/>
      </c>
      <c r="E46" s="356" t="e">
        <f>IF(V46="","",V46)</f>
        <v>#N/A</v>
      </c>
      <c r="F46" s="14" t="str">
        <f t="shared" si="27"/>
        <v/>
      </c>
      <c r="G46" s="356" t="e">
        <f>IF(X46="","",X46)</f>
        <v>#N/A</v>
      </c>
      <c r="H46" s="14" t="str">
        <f t="shared" si="28"/>
        <v/>
      </c>
      <c r="I46" s="356" t="e">
        <f>IF(Z46="","",Z46)</f>
        <v>#N/A</v>
      </c>
      <c r="J46" s="14" t="str">
        <f t="shared" si="29"/>
        <v/>
      </c>
      <c r="K46" s="356" t="e">
        <f>IF(AB46="","",AB46)</f>
        <v>#N/A</v>
      </c>
      <c r="L46" s="14" t="str">
        <f t="shared" si="30"/>
        <v/>
      </c>
      <c r="M46" s="356" t="e">
        <f>IF(AD46="","",AD46)</f>
        <v>#N/A</v>
      </c>
      <c r="N46" s="14" t="str">
        <f t="shared" si="31"/>
        <v/>
      </c>
      <c r="O46" s="356" t="e">
        <f>IF(AH46="","",AH46)</f>
        <v>#N/A</v>
      </c>
      <c r="R46" s="359"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2</v>
      </c>
      <c r="BT46" s="223">
        <f t="shared" si="50"/>
        <v>0</v>
      </c>
      <c r="BU46" s="223">
        <f>IF(COUNTIF(BH46:BM46,"&gt;0")&lt;Spielorte!$A$23,0,BE46/Spielorte!$A$23)</f>
        <v>0</v>
      </c>
      <c r="BV46" s="223">
        <f t="shared" si="46"/>
        <v>0</v>
      </c>
      <c r="BW46" s="222">
        <f t="shared" si="47"/>
        <v>0</v>
      </c>
    </row>
    <row r="47" spans="1:75" ht="17.100000000000001" customHeight="1" x14ac:dyDescent="0.25">
      <c r="A47" s="378"/>
      <c r="B47" s="19" t="str">
        <f>IF(S47=0,"",S47)</f>
        <v/>
      </c>
      <c r="C47" s="20" t="str">
        <f t="shared" si="48"/>
        <v/>
      </c>
      <c r="D47" s="15" t="str">
        <f t="shared" si="48"/>
        <v/>
      </c>
      <c r="E47" s="357"/>
      <c r="F47" s="15" t="str">
        <f t="shared" si="27"/>
        <v/>
      </c>
      <c r="G47" s="357"/>
      <c r="H47" s="15" t="str">
        <f t="shared" si="28"/>
        <v/>
      </c>
      <c r="I47" s="357"/>
      <c r="J47" s="15" t="str">
        <f t="shared" si="29"/>
        <v/>
      </c>
      <c r="K47" s="357"/>
      <c r="L47" s="15" t="str">
        <f t="shared" si="30"/>
        <v/>
      </c>
      <c r="M47" s="357"/>
      <c r="N47" s="15" t="str">
        <f t="shared" si="31"/>
        <v/>
      </c>
      <c r="O47" s="357"/>
      <c r="R47" s="360"/>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9"/>
      <c r="B48" s="21" t="str">
        <f>IF(S48=0,"",S48)</f>
        <v/>
      </c>
      <c r="C48" s="22" t="str">
        <f t="shared" si="48"/>
        <v/>
      </c>
      <c r="D48" s="9" t="str">
        <f t="shared" si="48"/>
        <v/>
      </c>
      <c r="E48" s="358"/>
      <c r="F48" s="9" t="str">
        <f t="shared" si="27"/>
        <v/>
      </c>
      <c r="G48" s="358"/>
      <c r="H48" s="9" t="str">
        <f t="shared" si="28"/>
        <v/>
      </c>
      <c r="I48" s="358"/>
      <c r="J48" s="9" t="str">
        <f t="shared" si="29"/>
        <v/>
      </c>
      <c r="K48" s="358"/>
      <c r="L48" s="9" t="str">
        <f t="shared" si="30"/>
        <v/>
      </c>
      <c r="M48" s="358"/>
      <c r="N48" s="9" t="str">
        <f t="shared" si="31"/>
        <v/>
      </c>
      <c r="O48" s="358"/>
      <c r="R48" s="361"/>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54" t="str">
        <f t="shared" si="51"/>
        <v/>
      </c>
      <c r="E52" s="354" t="str">
        <f t="shared" si="51"/>
        <v/>
      </c>
      <c r="F52" s="354" t="str">
        <f t="shared" si="51"/>
        <v/>
      </c>
      <c r="G52" s="354" t="str">
        <f t="shared" si="51"/>
        <v/>
      </c>
      <c r="H52" s="354" t="str">
        <f t="shared" si="51"/>
        <v/>
      </c>
      <c r="I52" s="354" t="str">
        <f t="shared" si="51"/>
        <v/>
      </c>
      <c r="J52" s="354" t="str">
        <f t="shared" si="51"/>
        <v/>
      </c>
      <c r="K52" s="354" t="str">
        <f t="shared" si="51"/>
        <v/>
      </c>
      <c r="L52" s="354" t="str">
        <f t="shared" ref="L52:M54" si="52">IF(AC52=0,"",AC52)</f>
        <v/>
      </c>
      <c r="M52" s="354" t="str">
        <f t="shared" si="52"/>
        <v/>
      </c>
      <c r="N52" s="355"/>
      <c r="O52" s="355"/>
      <c r="S52" s="13" t="s">
        <v>1786</v>
      </c>
      <c r="T52" s="5" t="s">
        <v>1787</v>
      </c>
      <c r="U52" s="373">
        <f>VLOOKUP($S32,Schlüssel!$A$5:$CX$10,43)</f>
        <v>0</v>
      </c>
      <c r="V52" s="374"/>
      <c r="W52" s="373">
        <f>VLOOKUP($S32,Schlüssel!$A$5:$DQ$10,44)</f>
        <v>0</v>
      </c>
      <c r="X52" s="374"/>
      <c r="Y52" s="373">
        <f>VLOOKUP($S32,Schlüssel!$A$5:$DQ$10,45)</f>
        <v>0</v>
      </c>
      <c r="Z52" s="374"/>
      <c r="AA52" s="373">
        <f>VLOOKUP($S32,Schlüssel!$A$5:$DQ$10,46)</f>
        <v>0</v>
      </c>
      <c r="AB52" s="374"/>
      <c r="AC52" s="373">
        <f>VLOOKUP($S32,Schlüssel!$A$5:$DQ$10,47)</f>
        <v>0</v>
      </c>
      <c r="AD52" s="374"/>
      <c r="AE52" s="373">
        <f>VLOOKUP($S32,Schlüssel!$A$5:$DQ$10,48)</f>
        <v>0</v>
      </c>
      <c r="AF52" s="374"/>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51" t="e">
        <f t="shared" si="51"/>
        <v>#N/A</v>
      </c>
      <c r="E53" s="352" t="str">
        <f t="shared" si="51"/>
        <v/>
      </c>
      <c r="F53" s="351" t="e">
        <f t="shared" si="51"/>
        <v>#N/A</v>
      </c>
      <c r="G53" s="352" t="str">
        <f t="shared" si="51"/>
        <v/>
      </c>
      <c r="H53" s="351" t="e">
        <f t="shared" si="51"/>
        <v>#N/A</v>
      </c>
      <c r="I53" s="352" t="str">
        <f t="shared" si="51"/>
        <v/>
      </c>
      <c r="J53" s="351" t="e">
        <f t="shared" si="51"/>
        <v>#N/A</v>
      </c>
      <c r="K53" s="352" t="str">
        <f t="shared" si="51"/>
        <v/>
      </c>
      <c r="L53" s="351" t="e">
        <f t="shared" si="52"/>
        <v>#N/A</v>
      </c>
      <c r="M53" s="352" t="str">
        <f t="shared" si="52"/>
        <v/>
      </c>
      <c r="N53" s="353"/>
      <c r="O53" s="353"/>
      <c r="S53" s="4"/>
      <c r="T53" s="1"/>
      <c r="U53" s="351" t="e">
        <f>VLOOKUP(U52,Schlüssel!$A$5:$K$10,2)</f>
        <v>#N/A</v>
      </c>
      <c r="V53" s="352"/>
      <c r="W53" s="351" t="e">
        <f>VLOOKUP(W52,Schlüssel!$A$5:$K$10,2)</f>
        <v>#N/A</v>
      </c>
      <c r="X53" s="352"/>
      <c r="Y53" s="351" t="e">
        <f>VLOOKUP(Y52,Schlüssel!$A$5:$K$10,2)</f>
        <v>#N/A</v>
      </c>
      <c r="Z53" s="352"/>
      <c r="AA53" s="351" t="e">
        <f>VLOOKUP(AA52,Schlüssel!$A$5:$K$10,2)</f>
        <v>#N/A</v>
      </c>
      <c r="AB53" s="352"/>
      <c r="AC53" s="351" t="e">
        <f>VLOOKUP(AC52,Schlüssel!$A$5:$K$10,2)</f>
        <v>#N/A</v>
      </c>
      <c r="AD53" s="352"/>
      <c r="AE53" s="351" t="e">
        <f>VLOOKUP(AE52,Schlüssel!$A$5:$K$10,2)</f>
        <v>#N/A</v>
      </c>
      <c r="AF53" s="35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50" t="str">
        <f t="shared" si="51"/>
        <v/>
      </c>
      <c r="E54" s="350" t="str">
        <f t="shared" si="51"/>
        <v/>
      </c>
      <c r="F54" s="350" t="str">
        <f t="shared" si="51"/>
        <v/>
      </c>
      <c r="G54" s="350" t="str">
        <f t="shared" si="51"/>
        <v/>
      </c>
      <c r="H54" s="350" t="str">
        <f t="shared" si="51"/>
        <v/>
      </c>
      <c r="I54" s="350" t="str">
        <f t="shared" si="51"/>
        <v/>
      </c>
      <c r="J54" s="350" t="str">
        <f t="shared" si="51"/>
        <v/>
      </c>
      <c r="K54" s="350" t="str">
        <f t="shared" si="51"/>
        <v/>
      </c>
      <c r="L54" s="350" t="str">
        <f t="shared" si="52"/>
        <v/>
      </c>
      <c r="M54" s="350"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5" t="str">
        <f t="shared" ref="B55:C59" si="53">IF(S55=0,"",S55)</f>
        <v>Spieler 1</v>
      </c>
      <c r="C55" s="376" t="str">
        <f t="shared" si="53"/>
        <v/>
      </c>
      <c r="D55" s="348" t="e">
        <f>IF(U55=301,"",U55)</f>
        <v>#N/A</v>
      </c>
      <c r="E55" s="348" t="str">
        <f>IF(V55=0,"",V55)</f>
        <v/>
      </c>
      <c r="F55" s="348" t="e">
        <f>IF(W55=301,"",W55)</f>
        <v>#N/A</v>
      </c>
      <c r="G55" s="348" t="str">
        <f>IF(X55=0,"",X55)</f>
        <v/>
      </c>
      <c r="H55" s="348" t="e">
        <f>IF(Y55=301,"",Y55)</f>
        <v>#N/A</v>
      </c>
      <c r="I55" s="348" t="str">
        <f>IF(Z55=0,"",Z55)</f>
        <v/>
      </c>
      <c r="J55" s="348" t="e">
        <f>IF(AA55=301,"",AA55)</f>
        <v>#N/A</v>
      </c>
      <c r="K55" s="348" t="str">
        <f>IF(AB55=0,"",AB55)</f>
        <v/>
      </c>
      <c r="L55" s="348" t="e">
        <f>IF(AC55=301,"",AC55)</f>
        <v>#N/A</v>
      </c>
      <c r="M55" s="348" t="str">
        <f>IF(AD55=0,"",AD55)</f>
        <v/>
      </c>
      <c r="N55" s="349"/>
      <c r="O55" s="349"/>
      <c r="S55" s="35" t="s">
        <v>0</v>
      </c>
      <c r="T55" s="36"/>
      <c r="U55" s="371" t="e">
        <f>ABS(INDEX(U:U,MATCH(U52,$S:$S,0)+5)+INDEX(U:U,MATCH(U52,$S:$S,0)+6)+INDEX(U:U,MATCH(U52,$S:$S,0)+7))</f>
        <v>#N/A</v>
      </c>
      <c r="V55" s="372"/>
      <c r="W55" s="371" t="e">
        <f>ABS(INDEX(W:W,MATCH(W52,$S:$S,0)+5)+INDEX(W:W,MATCH(W52,$S:$S,0)+6)+INDEX(W:W,MATCH(W52,$S:$S,0)+7))</f>
        <v>#N/A</v>
      </c>
      <c r="X55" s="372"/>
      <c r="Y55" s="371" t="e">
        <f>ABS(INDEX(Y:Y,MATCH(Y52,$S:$S,0)+5)+INDEX(Y:Y,MATCH(Y52,$S:$S,0)+6)+INDEX(Y:Y,MATCH(Y52,$S:$S,0)+7))</f>
        <v>#N/A</v>
      </c>
      <c r="Z55" s="372"/>
      <c r="AA55" s="371" t="e">
        <f>ABS(INDEX(AA:AA,MATCH(AA52,$S:$S,0)+5)+INDEX(AA:AA,MATCH(AA52,$S:$S,0)+6)+INDEX(AA:AA,MATCH(AA52,$S:$S,0)+7))</f>
        <v>#N/A</v>
      </c>
      <c r="AB55" s="372"/>
      <c r="AC55" s="371" t="e">
        <f>ABS(INDEX(AC:AC,MATCH(AC52,$S:$S,0)+5)+INDEX(AC:AC,MATCH(AC52,$S:$S,0)+6)+INDEX(AC:AC,MATCH(AC52,$S:$S,0)+7))</f>
        <v>#N/A</v>
      </c>
      <c r="AD55" s="372"/>
      <c r="AE55" s="371" t="e">
        <f>ABS(INDEX(AE:AE,MATCH(AE52,$S:$S,0)+5)+INDEX(AE:AE,MATCH(AE52,$S:$S,0)+6)+INDEX(AE:AE,MATCH(AE52,$S:$S,0)+7))</f>
        <v>#N/A</v>
      </c>
      <c r="AF55" s="372"/>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5" t="str">
        <f t="shared" si="53"/>
        <v>Spieler 2</v>
      </c>
      <c r="C56" s="376" t="str">
        <f t="shared" si="53"/>
        <v/>
      </c>
      <c r="D56" s="348" t="e">
        <f>IF(U56=301,"",U56)</f>
        <v>#N/A</v>
      </c>
      <c r="E56" s="348" t="str">
        <f>IF(V56=0,"",V56)</f>
        <v/>
      </c>
      <c r="F56" s="348" t="e">
        <f>IF(W56=301,"",W56)</f>
        <v>#N/A</v>
      </c>
      <c r="G56" s="348" t="str">
        <f>IF(X56=0,"",X56)</f>
        <v/>
      </c>
      <c r="H56" s="348" t="e">
        <f>IF(Y56=301,"",Y56)</f>
        <v>#N/A</v>
      </c>
      <c r="I56" s="348" t="str">
        <f>IF(Z56=0,"",Z56)</f>
        <v/>
      </c>
      <c r="J56" s="348" t="e">
        <f>IF(AA56=301,"",AA56)</f>
        <v>#N/A</v>
      </c>
      <c r="K56" s="348" t="str">
        <f>IF(AB56=0,"",AB56)</f>
        <v/>
      </c>
      <c r="L56" s="348" t="e">
        <f>IF(AC56=301,"",AC56)</f>
        <v>#N/A</v>
      </c>
      <c r="M56" s="348" t="str">
        <f>IF(AD56=0,"",AD56)</f>
        <v/>
      </c>
      <c r="N56" s="349"/>
      <c r="O56" s="349"/>
      <c r="S56" s="35" t="s">
        <v>2</v>
      </c>
      <c r="T56" s="36"/>
      <c r="U56" s="369" t="e">
        <f>ABS(INDEX(U:U,MATCH(U52,$S:$S,0)+8)+INDEX(U:U,MATCH(U52,$S:$S,0)+9)+INDEX(U:U,MATCH(U52,$S:$S,0)+10))</f>
        <v>#N/A</v>
      </c>
      <c r="V56" s="370"/>
      <c r="W56" s="369" t="e">
        <f>ABS(INDEX(W:W,MATCH(W52,$S:$S,0)+8)+INDEX(W:W,MATCH(W52,$S:$S,0)+9)+INDEX(W:W,MATCH(W52,$S:$S,0)+10))</f>
        <v>#N/A</v>
      </c>
      <c r="X56" s="370"/>
      <c r="Y56" s="369" t="e">
        <f>ABS(INDEX(Y:Y,MATCH(Y52,$S:$S,0)+8)+INDEX(Y:Y,MATCH(Y52,$S:$S,0)+9)+INDEX(Y:Y,MATCH(Y52,$S:$S,0)+10))</f>
        <v>#N/A</v>
      </c>
      <c r="Z56" s="370"/>
      <c r="AA56" s="369" t="e">
        <f>ABS(INDEX(AA:AA,MATCH(AA52,$S:$S,0)+8)+INDEX(AA:AA,MATCH(AA52,$S:$S,0)+9)+INDEX(AA:AA,MATCH(AA52,$S:$S,0)+10))</f>
        <v>#N/A</v>
      </c>
      <c r="AB56" s="370"/>
      <c r="AC56" s="369" t="e">
        <f>ABS(INDEX(AC:AC,MATCH(AC52,$S:$S,0)+8)+INDEX(AC:AC,MATCH(AC52,$S:$S,0)+9)+INDEX(AC:AC,MATCH(AC52,$S:$S,0)+10))</f>
        <v>#N/A</v>
      </c>
      <c r="AD56" s="370"/>
      <c r="AE56" s="369" t="e">
        <f>ABS(INDEX(AE:AE,MATCH(AE52,$S:$S,0)+8)+INDEX(AE:AE,MATCH(AE52,$S:$S,0)+9)+INDEX(AE:AE,MATCH(AE52,$S:$S,0)+10))</f>
        <v>#N/A</v>
      </c>
      <c r="AF56" s="370"/>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5" t="str">
        <f t="shared" si="53"/>
        <v>Spieler 3</v>
      </c>
      <c r="C57" s="376" t="str">
        <f t="shared" si="53"/>
        <v/>
      </c>
      <c r="D57" s="348" t="e">
        <f>IF(U57=301,"",U57)</f>
        <v>#N/A</v>
      </c>
      <c r="E57" s="348" t="str">
        <f>IF(V57=0,"",V57)</f>
        <v/>
      </c>
      <c r="F57" s="348" t="e">
        <f>IF(W57=301,"",W57)</f>
        <v>#N/A</v>
      </c>
      <c r="G57" s="348" t="str">
        <f>IF(X57=0,"",X57)</f>
        <v/>
      </c>
      <c r="H57" s="348" t="e">
        <f>IF(Y57=301,"",Y57)</f>
        <v>#N/A</v>
      </c>
      <c r="I57" s="348" t="str">
        <f>IF(Z57=0,"",Z57)</f>
        <v/>
      </c>
      <c r="J57" s="348" t="e">
        <f>IF(AA57=301,"",AA57)</f>
        <v>#N/A</v>
      </c>
      <c r="K57" s="348" t="str">
        <f>IF(AB57=0,"",AB57)</f>
        <v/>
      </c>
      <c r="L57" s="348" t="e">
        <f>IF(AC57=301,"",AC57)</f>
        <v>#N/A</v>
      </c>
      <c r="M57" s="348" t="str">
        <f>IF(AD57=0,"",AD57)</f>
        <v/>
      </c>
      <c r="N57" s="349"/>
      <c r="O57" s="349"/>
      <c r="S57" s="35" t="s">
        <v>3</v>
      </c>
      <c r="T57" s="36"/>
      <c r="U57" s="369" t="e">
        <f>ABS(INDEX(U:U,MATCH(U52,$S:$S,0)+11)+INDEX(U:U,MATCH(U52,$S:$S,0)+12)+INDEX(U:U,MATCH(U52,$S:$S,0)+13))</f>
        <v>#N/A</v>
      </c>
      <c r="V57" s="370"/>
      <c r="W57" s="369" t="e">
        <f>ABS(INDEX(W:W,MATCH(W52,$S:$S,0)+11)+INDEX(W:W,MATCH(W52,$S:$S,0)+12)+INDEX(W:W,MATCH(W52,$S:$S,0)+13))</f>
        <v>#N/A</v>
      </c>
      <c r="X57" s="370"/>
      <c r="Y57" s="369" t="e">
        <f>ABS(INDEX(Y:Y,MATCH(Y52,$S:$S,0)+11)+INDEX(Y:Y,MATCH(Y52,$S:$S,0)+12)+INDEX(Y:Y,MATCH(Y52,$S:$S,0)+13))</f>
        <v>#N/A</v>
      </c>
      <c r="Z57" s="370"/>
      <c r="AA57" s="369" t="e">
        <f>ABS(INDEX(AA:AA,MATCH(AA52,$S:$S,0)+11)+INDEX(AA:AA,MATCH(AA52,$S:$S,0)+12)+INDEX(AA:AA,MATCH(AA52,$S:$S,0)+13))</f>
        <v>#N/A</v>
      </c>
      <c r="AB57" s="370"/>
      <c r="AC57" s="369" t="e">
        <f>ABS(INDEX(AC:AC,MATCH(AC52,$S:$S,0)+11)+INDEX(AC:AC,MATCH(AC52,$S:$S,0)+12)+INDEX(AC:AC,MATCH(AC52,$S:$S,0)+13))</f>
        <v>#N/A</v>
      </c>
      <c r="AD57" s="370"/>
      <c r="AE57" s="369" t="e">
        <f>ABS(INDEX(AE:AE,MATCH(AE52,$S:$S,0)+11)+INDEX(AE:AE,MATCH(AE52,$S:$S,0)+12)+INDEX(AE:AE,MATCH(AE52,$S:$S,0)+13))</f>
        <v>#N/A</v>
      </c>
      <c r="AF57" s="370"/>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5" t="str">
        <f t="shared" si="53"/>
        <v>Spieler 4</v>
      </c>
      <c r="C58" s="376" t="str">
        <f t="shared" si="53"/>
        <v/>
      </c>
      <c r="D58" s="348" t="e">
        <f>IF(U58=301,"",U58)</f>
        <v>#N/A</v>
      </c>
      <c r="E58" s="348" t="str">
        <f>IF(V58=0,"",V58)</f>
        <v/>
      </c>
      <c r="F58" s="348" t="e">
        <f>IF(W58=301,"",W58)</f>
        <v>#N/A</v>
      </c>
      <c r="G58" s="348" t="str">
        <f>IF(X58=0,"",X58)</f>
        <v/>
      </c>
      <c r="H58" s="348" t="e">
        <f>IF(Y58=301,"",Y58)</f>
        <v>#N/A</v>
      </c>
      <c r="I58" s="348" t="str">
        <f>IF(Z58=0,"",Z58)</f>
        <v/>
      </c>
      <c r="J58" s="348" t="e">
        <f>IF(AA58=301,"",AA58)</f>
        <v>#N/A</v>
      </c>
      <c r="K58" s="348" t="str">
        <f>IF(AB58=0,"",AB58)</f>
        <v/>
      </c>
      <c r="L58" s="348" t="e">
        <f>IF(AC58=301,"",AC58)</f>
        <v>#N/A</v>
      </c>
      <c r="M58" s="348" t="str">
        <f>IF(AD58=0,"",AD58)</f>
        <v/>
      </c>
      <c r="N58" s="349"/>
      <c r="O58" s="349"/>
      <c r="S58" s="35" t="s">
        <v>11</v>
      </c>
      <c r="T58" s="36"/>
      <c r="U58" s="369" t="e">
        <f>ABS(INDEX(U:U,MATCH(U52,$S:$S,0)+14)+INDEX(U:U,MATCH(U52,$S:$S,0)+15)+INDEX(U:U,MATCH(U52,$S:$S,0)+16))</f>
        <v>#N/A</v>
      </c>
      <c r="V58" s="370"/>
      <c r="W58" s="369" t="e">
        <f>ABS(INDEX(W:W,MATCH(W52,$S:$S,0)+14)+INDEX(W:W,MATCH(W52,$S:$S,0)+15)+INDEX(W:W,MATCH(W52,$S:$S,0)+16))</f>
        <v>#N/A</v>
      </c>
      <c r="X58" s="370"/>
      <c r="Y58" s="369" t="e">
        <f>ABS(INDEX(Y:Y,MATCH(Y52,$S:$S,0)+14)+INDEX(Y:Y,MATCH(Y52,$S:$S,0)+15)+INDEX(Y:Y,MATCH(Y52,$S:$S,0)+16))</f>
        <v>#N/A</v>
      </c>
      <c r="Z58" s="370"/>
      <c r="AA58" s="369" t="e">
        <f>ABS(INDEX(AA:AA,MATCH(AA52,$S:$S,0)+14)+INDEX(AA:AA,MATCH(AA52,$S:$S,0)+15)+INDEX(AA:AA,MATCH(AA52,$S:$S,0)+16))</f>
        <v>#N/A</v>
      </c>
      <c r="AB58" s="370"/>
      <c r="AC58" s="369" t="e">
        <f>ABS(INDEX(AC:AC,MATCH(AC52,$S:$S,0)+14)+INDEX(AC:AC,MATCH(AC52,$S:$S,0)+15)+INDEX(AC:AC,MATCH(AC52,$S:$S,0)+16))</f>
        <v>#N/A</v>
      </c>
      <c r="AD58" s="370"/>
      <c r="AE58" s="369" t="e">
        <f>ABS(INDEX(AE:AE,MATCH(AE52,$S:$S,0)+14)+INDEX(AE:AE,MATCH(AE52,$S:$S,0)+15)+INDEX(AE:AE,MATCH(AE52,$S:$S,0)+16))</f>
        <v>#N/A</v>
      </c>
      <c r="AF58" s="370"/>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3" t="str">
        <f t="shared" si="53"/>
        <v>Gesamt</v>
      </c>
      <c r="C59" s="364" t="str">
        <f t="shared" si="53"/>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12"/>
      <c r="O59" s="312"/>
      <c r="S59" s="37" t="s">
        <v>1788</v>
      </c>
      <c r="T59" s="38"/>
      <c r="U59" s="363" t="e">
        <f>SUM(U55:U58)</f>
        <v>#N/A</v>
      </c>
      <c r="V59" s="364"/>
      <c r="W59" s="363" t="e">
        <f>SUM(W55:W58)</f>
        <v>#N/A</v>
      </c>
      <c r="X59" s="364"/>
      <c r="Y59" s="363" t="e">
        <f>SUM(Y55:Y58)</f>
        <v>#N/A</v>
      </c>
      <c r="Z59" s="364"/>
      <c r="AA59" s="363" t="e">
        <f>SUM(AA55:AA58)</f>
        <v>#N/A</v>
      </c>
      <c r="AB59" s="364"/>
      <c r="AC59" s="363" t="e">
        <f>SUM(AC55:AC58)</f>
        <v>#N/A</v>
      </c>
      <c r="AD59" s="364"/>
      <c r="AE59" s="363" t="e">
        <f>SUM(AE55:AE58)</f>
        <v>#N/A</v>
      </c>
      <c r="AF59" s="364"/>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80" t="str">
        <f>AD61</f>
        <v>16.02.</v>
      </c>
      <c r="N61" s="380"/>
      <c r="O61" s="380"/>
      <c r="P61" s="381"/>
      <c r="Q61" s="381"/>
      <c r="R61" s="381"/>
      <c r="S61" s="7" t="s">
        <v>1798</v>
      </c>
      <c r="T61" s="25"/>
      <c r="U61" s="30" t="s">
        <v>1782</v>
      </c>
      <c r="V61" s="76" t="str">
        <f>Schlüssel!$C$1</f>
        <v>Landesliga Nord Frauen</v>
      </c>
      <c r="X61" s="25"/>
      <c r="Y61" s="25"/>
      <c r="Z61" s="25"/>
      <c r="AA61" s="25"/>
      <c r="AC61" s="29"/>
      <c r="AD61" s="362" t="str">
        <f>Schlüssel!$BA$1</f>
        <v>16.02.</v>
      </c>
      <c r="AE61" s="362"/>
      <c r="AF61" s="362"/>
      <c r="AG61" s="362"/>
      <c r="AH61" s="362"/>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5">
      <c r="B65" s="40" t="s">
        <v>1</v>
      </c>
      <c r="C65" s="41"/>
      <c r="D65" s="363" t="s">
        <v>1789</v>
      </c>
      <c r="E65" s="364"/>
      <c r="F65" s="363" t="s">
        <v>1790</v>
      </c>
      <c r="G65" s="364"/>
      <c r="H65" s="363" t="s">
        <v>1791</v>
      </c>
      <c r="I65" s="364"/>
      <c r="J65" s="363" t="s">
        <v>1792</v>
      </c>
      <c r="K65" s="364"/>
      <c r="L65" s="363" t="s">
        <v>1793</v>
      </c>
      <c r="M65" s="364"/>
      <c r="N65" s="365" t="s">
        <v>1788</v>
      </c>
      <c r="O65" s="366"/>
      <c r="S65" s="40" t="s">
        <v>1</v>
      </c>
      <c r="T65" s="41"/>
      <c r="U65" s="363" t="s">
        <v>1789</v>
      </c>
      <c r="V65" s="364"/>
      <c r="W65" s="363" t="s">
        <v>1790</v>
      </c>
      <c r="X65" s="364"/>
      <c r="Y65" s="363" t="s">
        <v>1791</v>
      </c>
      <c r="Z65" s="364"/>
      <c r="AA65" s="363" t="s">
        <v>1792</v>
      </c>
      <c r="AB65" s="364"/>
      <c r="AC65" s="363" t="s">
        <v>1793</v>
      </c>
      <c r="AD65" s="368"/>
      <c r="AE65" s="363" t="s">
        <v>2088</v>
      </c>
      <c r="AF65" s="368"/>
      <c r="AG65" s="367" t="s">
        <v>1788</v>
      </c>
      <c r="AH65" s="36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7" t="s">
        <v>0</v>
      </c>
      <c r="B67" s="17" t="str">
        <f>IF(S67=0,"",S67)</f>
        <v>Söldner, Elke</v>
      </c>
      <c r="C67" s="18">
        <f>IF(T67=0,"",T67)</f>
        <v>7156</v>
      </c>
      <c r="D67" s="14">
        <f>IF(U67=0,"",U67)</f>
        <v>125</v>
      </c>
      <c r="E67" s="356">
        <f>IF(V67="","",V67)</f>
        <v>0</v>
      </c>
      <c r="F67" s="14">
        <f t="shared" ref="F67:F80" si="54">IF(W67=0,"",W67)</f>
        <v>146</v>
      </c>
      <c r="G67" s="356">
        <f>IF(X67="","",X67)</f>
        <v>1</v>
      </c>
      <c r="H67" s="14">
        <f t="shared" ref="H67:H80" si="55">IF(Y67=0,"",Y67)</f>
        <v>124</v>
      </c>
      <c r="I67" s="356">
        <f>IF(Z67="","",Z67)</f>
        <v>0</v>
      </c>
      <c r="J67" s="14">
        <f t="shared" ref="J67:J80" si="56">IF(AA67=0,"",AA67)</f>
        <v>156</v>
      </c>
      <c r="K67" s="356">
        <f>IF(AB67="","",AB67)</f>
        <v>0</v>
      </c>
      <c r="L67" s="14">
        <f t="shared" ref="L67:L80" si="57">IF(AC67=0,"",AC67)</f>
        <v>162</v>
      </c>
      <c r="M67" s="356">
        <f>IF(AD67="","",AD67)</f>
        <v>0</v>
      </c>
      <c r="N67" s="14">
        <f t="shared" ref="N67:N80" si="58">IF(AG67=0,"",AG67)</f>
        <v>829</v>
      </c>
      <c r="O67" s="356">
        <f>IF(AH67="","",AH67)</f>
        <v>1</v>
      </c>
      <c r="R67" s="359" t="s">
        <v>0</v>
      </c>
      <c r="S67" s="67" t="str">
        <f>IF(T67=0,"",VLOOKUP(T67,Starter!$A$1:$D$187,2,FALSE))</f>
        <v>Söldner, Elke</v>
      </c>
      <c r="T67" s="174">
        <v>7156</v>
      </c>
      <c r="U67" s="182">
        <v>125</v>
      </c>
      <c r="V67" s="95">
        <f>IF(SUM(U67:U69)+U85=0,0,IF(ABS(SUM(U67:U69))=U85,0.5,IF(ABS(SUM(U67:U69))&gt;U85,1,0)))</f>
        <v>0</v>
      </c>
      <c r="W67" s="182">
        <v>146</v>
      </c>
      <c r="X67" s="95">
        <f>IF(SUM(W67:W69)+W85=0,0,IF(ABS(SUM(W67:W69))=W85,0.5,IF(ABS(SUM(W67:W69))&gt;W85,1,0)))</f>
        <v>1</v>
      </c>
      <c r="Y67" s="182">
        <v>124</v>
      </c>
      <c r="Z67" s="95">
        <f>IF(SUM(Y67:Y69)+Y85=0,0,IF(ABS(SUM(Y67:Y69))=Y85,0.5,IF(ABS(SUM(Y67:Y69))&gt;Y85,1,0)))</f>
        <v>0</v>
      </c>
      <c r="AA67" s="188">
        <v>156</v>
      </c>
      <c r="AB67" s="95">
        <f>IF(SUM(AA67:AA69)+AA85=0,0,IF(ABS(SUM(AA67:AA69))=AA85,0.5,IF(ABS(SUM(AA67:AA69))&gt;AA85,1,0)))</f>
        <v>0</v>
      </c>
      <c r="AC67" s="182">
        <v>162</v>
      </c>
      <c r="AD67" s="95">
        <f>IF(SUM(AC67:AC69)+AC85=0,0,IF(ABS(SUM(AC67:AC69))=AC85,0.5,IF(ABS(SUM(AC67:AC69))&gt;AC85,1,0)))</f>
        <v>0</v>
      </c>
      <c r="AE67" s="182">
        <v>116</v>
      </c>
      <c r="AF67" s="95">
        <f>IF(SUM(AE67:AE69)+AE85=0,0,IF(ABS(SUM(AE67:AE69))=AE85,0.5,IF(ABS(SUM(AE67:AE69))&gt;AE85,1,0)))</f>
        <v>0</v>
      </c>
      <c r="AG67" s="194">
        <f t="shared" ref="AG67:AG78" si="59">ABS(SUM(U67:U67))+ABS(SUM(W67:W67))+ABS(SUM(Y67:Y67))+ABS(SUM(AA67:AA67))+ABS(SUM(AC67:AC67))+ABS(SUM(AE67:AE67))</f>
        <v>829</v>
      </c>
      <c r="AH67" s="179">
        <f>SUM(V67+X67+Z67+AB67+AD67+AF67)</f>
        <v>1</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829</v>
      </c>
      <c r="BF67" s="223">
        <f t="shared" ref="BF67:BF78" si="62">COUNT(BH67:BM67)</f>
        <v>6</v>
      </c>
      <c r="BG67" s="223">
        <f t="shared" ref="BG67:BG78" si="63">COUNTIF(BH67:BM67,"&gt;0")</f>
        <v>6</v>
      </c>
      <c r="BH67" s="223">
        <f t="shared" ref="BH67:BH78" si="64">IF(U67=0,"",U67)</f>
        <v>125</v>
      </c>
      <c r="BI67" s="223">
        <f t="shared" ref="BI67:BI78" si="65">IF(W67=0,"",W67)</f>
        <v>146</v>
      </c>
      <c r="BJ67" s="223">
        <f t="shared" ref="BJ67:BJ78" si="66">IF(Y67=0,"",Y67)</f>
        <v>124</v>
      </c>
      <c r="BK67" s="223">
        <f t="shared" ref="BK67:BK78" si="67">IF(AA67=0,"",AA67)</f>
        <v>156</v>
      </c>
      <c r="BL67" s="223">
        <f t="shared" ref="BL67:BL78" si="68">IF(AC67=0,"",AC67)</f>
        <v>162</v>
      </c>
      <c r="BM67" s="223">
        <f t="shared" ref="BM67:BM78" si="69">IF(AE67=0,"",AE67)</f>
        <v>116</v>
      </c>
      <c r="BN67" s="224"/>
      <c r="BO67" s="222"/>
      <c r="BP67" s="223">
        <f t="shared" ref="BP67:BP78" si="70">MAX(BH67:BM67)</f>
        <v>162</v>
      </c>
      <c r="BQ67" s="223">
        <f t="shared" ref="BQ67:BQ78" si="71">IF(BP67&lt;MAX(BP:BP),0,BP67+ROW()/1000000000)</f>
        <v>0</v>
      </c>
      <c r="BR67" s="223" t="str">
        <f>+S63</f>
        <v>Mainauenbowler Bayreuth Land</v>
      </c>
      <c r="BS67" s="222">
        <f t="shared" ref="BS67:BS78" si="72">RANK(BQ67,BQ:BQ)</f>
        <v>2</v>
      </c>
      <c r="BT67" s="223">
        <f>SUMIF(BH67:BM67,"&gt;0")</f>
        <v>829</v>
      </c>
      <c r="BU67" s="223">
        <f>IF(COUNTIF(BH67:BM67,"&gt;0")&lt;Spielorte!$A$23,0,BE67/Spielorte!$A$23)</f>
        <v>138.16666666666666</v>
      </c>
      <c r="BV67" s="223">
        <f t="shared" ref="BV67:BV78" si="73">IF(BU67&lt;MAX(BU:BU),0,BU67+ROW()/1000000000)</f>
        <v>0</v>
      </c>
      <c r="BW67" s="222">
        <f t="shared" ref="BW67:BW78" si="74">IF(BV67=0,0,RANK(BV67,BV:BV))</f>
        <v>0</v>
      </c>
    </row>
    <row r="68" spans="1:75" ht="17.100000000000001" customHeight="1" x14ac:dyDescent="0.25">
      <c r="A68" s="378"/>
      <c r="B68" s="19" t="str">
        <f t="shared" ref="B68:D80" si="75">IF(S68=0,"",S68)</f>
        <v/>
      </c>
      <c r="C68" s="20" t="str">
        <f t="shared" si="75"/>
        <v/>
      </c>
      <c r="D68" s="15" t="str">
        <f t="shared" si="75"/>
        <v/>
      </c>
      <c r="E68" s="357"/>
      <c r="F68" s="15" t="str">
        <f t="shared" si="54"/>
        <v/>
      </c>
      <c r="G68" s="357"/>
      <c r="H68" s="15" t="str">
        <f t="shared" si="55"/>
        <v/>
      </c>
      <c r="I68" s="357"/>
      <c r="J68" s="15" t="str">
        <f t="shared" si="56"/>
        <v/>
      </c>
      <c r="K68" s="357"/>
      <c r="L68" s="15" t="str">
        <f t="shared" si="57"/>
        <v/>
      </c>
      <c r="M68" s="357"/>
      <c r="N68" s="15" t="str">
        <f t="shared" si="58"/>
        <v/>
      </c>
      <c r="O68" s="357"/>
      <c r="R68" s="360"/>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9"/>
      <c r="B69" s="21" t="str">
        <f t="shared" si="75"/>
        <v/>
      </c>
      <c r="C69" s="22" t="str">
        <f t="shared" si="75"/>
        <v/>
      </c>
      <c r="D69" s="9" t="str">
        <f t="shared" si="75"/>
        <v/>
      </c>
      <c r="E69" s="358"/>
      <c r="F69" s="9" t="str">
        <f t="shared" si="54"/>
        <v/>
      </c>
      <c r="G69" s="358"/>
      <c r="H69" s="9" t="str">
        <f t="shared" si="55"/>
        <v/>
      </c>
      <c r="I69" s="358"/>
      <c r="J69" s="9" t="str">
        <f t="shared" si="56"/>
        <v/>
      </c>
      <c r="K69" s="358"/>
      <c r="L69" s="9" t="str">
        <f t="shared" si="57"/>
        <v/>
      </c>
      <c r="M69" s="358"/>
      <c r="N69" s="9" t="str">
        <f t="shared" si="58"/>
        <v/>
      </c>
      <c r="O69" s="358"/>
      <c r="R69" s="361"/>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7" t="s">
        <v>2</v>
      </c>
      <c r="B70" s="17" t="str">
        <f t="shared" si="75"/>
        <v>Theisen, Ulrike</v>
      </c>
      <c r="C70" s="18">
        <f t="shared" si="75"/>
        <v>25478</v>
      </c>
      <c r="D70" s="14">
        <f t="shared" si="75"/>
        <v>172</v>
      </c>
      <c r="E70" s="356">
        <f>IF(V70="","",V70)</f>
        <v>1</v>
      </c>
      <c r="F70" s="14">
        <f t="shared" si="54"/>
        <v>139</v>
      </c>
      <c r="G70" s="356">
        <f>IF(X70="","",X70)</f>
        <v>1</v>
      </c>
      <c r="H70" s="14">
        <f t="shared" si="55"/>
        <v>168</v>
      </c>
      <c r="I70" s="356">
        <f>IF(Z70="","",Z70)</f>
        <v>1</v>
      </c>
      <c r="J70" s="14">
        <f t="shared" si="56"/>
        <v>151</v>
      </c>
      <c r="K70" s="356">
        <f>IF(AB70="","",AB70)</f>
        <v>0.5</v>
      </c>
      <c r="L70" s="14">
        <f t="shared" si="57"/>
        <v>202</v>
      </c>
      <c r="M70" s="356">
        <f>IF(AD70="","",AD70)</f>
        <v>1</v>
      </c>
      <c r="N70" s="14">
        <f t="shared" si="58"/>
        <v>968</v>
      </c>
      <c r="O70" s="356">
        <f>IF(AH70="","",AH70)</f>
        <v>4.5</v>
      </c>
      <c r="R70" s="359" t="s">
        <v>2</v>
      </c>
      <c r="S70" s="67" t="str">
        <f>IF(T70=0,"",VLOOKUP(T70,Starter!$A$1:$D$187,2,FALSE))</f>
        <v>Theisen, Ulrike</v>
      </c>
      <c r="T70" s="177">
        <v>25478</v>
      </c>
      <c r="U70" s="185">
        <v>172</v>
      </c>
      <c r="V70" s="95">
        <f>IF(SUM(U70:U72)+U86=0,0,IF(ABS(SUM(U70:U72))=U86,0.5,IF(ABS(SUM(U70:U72))&gt;U86,1,0)))</f>
        <v>1</v>
      </c>
      <c r="W70" s="185">
        <v>139</v>
      </c>
      <c r="X70" s="95">
        <f>IF(SUM(W70:W72)+W86=0,0,IF(ABS(SUM(W70:W72))=W86,0.5,IF(ABS(SUM(W70:W72))&gt;W86,1,0)))</f>
        <v>1</v>
      </c>
      <c r="Y70" s="185">
        <v>168</v>
      </c>
      <c r="Z70" s="95">
        <f>IF(SUM(Y70:Y72)+Y86=0,0,IF(ABS(SUM(Y70:Y72))=Y86,0.5,IF(ABS(SUM(Y70:Y72))&gt;Y86,1,0)))</f>
        <v>1</v>
      </c>
      <c r="AA70" s="185">
        <v>151</v>
      </c>
      <c r="AB70" s="95">
        <f>IF(SUM(AA70:AA72)+AA86=0,0,IF(ABS(SUM(AA70:AA72))=AA86,0.5,IF(ABS(SUM(AA70:AA72))&gt;AA86,1,0)))</f>
        <v>0.5</v>
      </c>
      <c r="AC70" s="185">
        <v>202</v>
      </c>
      <c r="AD70" s="95">
        <f>IF(SUM(AC70:AC72)+AC86=0,0,IF(ABS(SUM(AC70:AC72))=AC86,0.5,IF(ABS(SUM(AC70:AC72))&gt;AC86,1,0)))</f>
        <v>1</v>
      </c>
      <c r="AE70" s="185">
        <v>136</v>
      </c>
      <c r="AF70" s="95">
        <f>IF(SUM(AE70:AE72)+AE86=0,0,IF(ABS(SUM(AE70:AE72))=AE86,0.5,IF(ABS(SUM(AE70:AE72))&gt;AE86,1,0)))</f>
        <v>0</v>
      </c>
      <c r="AG70" s="194">
        <f t="shared" si="59"/>
        <v>968</v>
      </c>
      <c r="AH70" s="179">
        <f>SUM(V70+X70+Z70+AB70+AD70+AF70)</f>
        <v>4.5</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968</v>
      </c>
      <c r="BF70" s="223">
        <f t="shared" si="62"/>
        <v>6</v>
      </c>
      <c r="BG70" s="223">
        <f t="shared" si="63"/>
        <v>6</v>
      </c>
      <c r="BH70" s="223">
        <f t="shared" si="64"/>
        <v>172</v>
      </c>
      <c r="BI70" s="223">
        <f t="shared" si="65"/>
        <v>139</v>
      </c>
      <c r="BJ70" s="223">
        <f t="shared" si="66"/>
        <v>168</v>
      </c>
      <c r="BK70" s="223">
        <f t="shared" si="67"/>
        <v>151</v>
      </c>
      <c r="BL70" s="223">
        <f t="shared" si="68"/>
        <v>202</v>
      </c>
      <c r="BM70" s="223">
        <f t="shared" si="69"/>
        <v>136</v>
      </c>
      <c r="BN70" s="224"/>
      <c r="BO70" s="222"/>
      <c r="BP70" s="223">
        <f t="shared" si="70"/>
        <v>202</v>
      </c>
      <c r="BQ70" s="223">
        <f t="shared" si="71"/>
        <v>0</v>
      </c>
      <c r="BR70" s="223" t="str">
        <f t="shared" si="76"/>
        <v>Mainauenbowler Bayreuth Land</v>
      </c>
      <c r="BS70" s="222">
        <f t="shared" si="72"/>
        <v>2</v>
      </c>
      <c r="BT70" s="223">
        <f t="shared" si="77"/>
        <v>968</v>
      </c>
      <c r="BU70" s="223">
        <f>IF(COUNTIF(BH70:BM70,"&gt;0")&lt;Spielorte!$A$23,0,BE70/Spielorte!$A$23)</f>
        <v>161.33333333333334</v>
      </c>
      <c r="BV70" s="223">
        <f t="shared" si="73"/>
        <v>0</v>
      </c>
      <c r="BW70" s="222">
        <f t="shared" si="74"/>
        <v>0</v>
      </c>
    </row>
    <row r="71" spans="1:75" ht="17.100000000000001" customHeight="1" x14ac:dyDescent="0.25">
      <c r="A71" s="378"/>
      <c r="B71" s="19" t="str">
        <f t="shared" si="75"/>
        <v/>
      </c>
      <c r="C71" s="20" t="str">
        <f t="shared" si="75"/>
        <v/>
      </c>
      <c r="D71" s="15" t="str">
        <f t="shared" si="75"/>
        <v/>
      </c>
      <c r="E71" s="357"/>
      <c r="F71" s="15" t="str">
        <f t="shared" si="54"/>
        <v/>
      </c>
      <c r="G71" s="357"/>
      <c r="H71" s="15" t="str">
        <f t="shared" si="55"/>
        <v/>
      </c>
      <c r="I71" s="357"/>
      <c r="J71" s="15" t="str">
        <f t="shared" si="56"/>
        <v/>
      </c>
      <c r="K71" s="357"/>
      <c r="L71" s="15" t="str">
        <f t="shared" si="57"/>
        <v/>
      </c>
      <c r="M71" s="357"/>
      <c r="N71" s="15" t="str">
        <f t="shared" si="58"/>
        <v/>
      </c>
      <c r="O71" s="357"/>
      <c r="R71" s="360"/>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9"/>
      <c r="B72" s="21" t="str">
        <f t="shared" si="75"/>
        <v/>
      </c>
      <c r="C72" s="22" t="str">
        <f t="shared" si="75"/>
        <v/>
      </c>
      <c r="D72" s="9" t="str">
        <f t="shared" si="75"/>
        <v/>
      </c>
      <c r="E72" s="358"/>
      <c r="F72" s="9" t="str">
        <f t="shared" si="54"/>
        <v/>
      </c>
      <c r="G72" s="358"/>
      <c r="H72" s="9" t="str">
        <f t="shared" si="55"/>
        <v/>
      </c>
      <c r="I72" s="358"/>
      <c r="J72" s="9" t="str">
        <f t="shared" si="56"/>
        <v/>
      </c>
      <c r="K72" s="358"/>
      <c r="L72" s="9" t="str">
        <f t="shared" si="57"/>
        <v/>
      </c>
      <c r="M72" s="358"/>
      <c r="N72" s="9" t="str">
        <f t="shared" si="58"/>
        <v/>
      </c>
      <c r="O72" s="358"/>
      <c r="R72" s="361"/>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7" t="s">
        <v>3</v>
      </c>
      <c r="B73" s="17" t="str">
        <f t="shared" si="75"/>
        <v>Weiske, Marina</v>
      </c>
      <c r="C73" s="18">
        <f t="shared" si="75"/>
        <v>7154</v>
      </c>
      <c r="D73" s="14">
        <f t="shared" si="75"/>
        <v>234</v>
      </c>
      <c r="E73" s="356">
        <f>IF(V73="","",V73)</f>
        <v>1</v>
      </c>
      <c r="F73" s="14">
        <f t="shared" si="54"/>
        <v>215</v>
      </c>
      <c r="G73" s="356">
        <f>IF(X73="","",X73)</f>
        <v>1</v>
      </c>
      <c r="H73" s="14">
        <f t="shared" si="55"/>
        <v>175</v>
      </c>
      <c r="I73" s="356">
        <f>IF(Z73="","",Z73)</f>
        <v>1</v>
      </c>
      <c r="J73" s="14">
        <f t="shared" si="56"/>
        <v>181</v>
      </c>
      <c r="K73" s="356">
        <f>IF(AB73="","",AB73)</f>
        <v>1</v>
      </c>
      <c r="L73" s="14">
        <f t="shared" si="57"/>
        <v>180</v>
      </c>
      <c r="M73" s="356">
        <f>IF(AD73="","",AD73)</f>
        <v>1</v>
      </c>
      <c r="N73" s="14">
        <f t="shared" si="58"/>
        <v>1121</v>
      </c>
      <c r="O73" s="356">
        <f>IF(AH73="","",AH73)</f>
        <v>5</v>
      </c>
      <c r="R73" s="359" t="s">
        <v>3</v>
      </c>
      <c r="S73" s="67" t="str">
        <f>IF(T73=0,"",VLOOKUP(T73,Starter!$A$1:$D$187,2,FALSE))</f>
        <v>Weiske, Marina</v>
      </c>
      <c r="T73" s="177">
        <v>7154</v>
      </c>
      <c r="U73" s="185">
        <v>234</v>
      </c>
      <c r="V73" s="95">
        <f>IF(SUM(U73:U75)+U87=0,0,IF(ABS(SUM(U73:U75))=U87,0.5,IF(ABS(SUM(U73:U75))&gt;U87,1,0)))</f>
        <v>1</v>
      </c>
      <c r="W73" s="185">
        <v>215</v>
      </c>
      <c r="X73" s="95">
        <f>IF(SUM(W73:W75)+W87=0,0,IF(ABS(SUM(W73:W75))=W87,0.5,IF(ABS(SUM(W73:W75))&gt;W87,1,0)))</f>
        <v>1</v>
      </c>
      <c r="Y73" s="185">
        <v>175</v>
      </c>
      <c r="Z73" s="95">
        <f>IF(SUM(Y73:Y75)+Y87=0,0,IF(ABS(SUM(Y73:Y75))=Y87,0.5,IF(ABS(SUM(Y73:Y75))&gt;Y87,1,0)))</f>
        <v>1</v>
      </c>
      <c r="AA73" s="185">
        <v>181</v>
      </c>
      <c r="AB73" s="95">
        <f>IF(SUM(AA73:AA75)+AA87=0,0,IF(ABS(SUM(AA73:AA75))=AA87,0.5,IF(ABS(SUM(AA73:AA75))&gt;AA87,1,0)))</f>
        <v>1</v>
      </c>
      <c r="AC73" s="185">
        <v>180</v>
      </c>
      <c r="AD73" s="95">
        <f>IF(SUM(AC73:AC75)+AC87=0,0,IF(ABS(SUM(AC73:AC75))=AC87,0.5,IF(ABS(SUM(AC73:AC75))&gt;AC87,1,0)))</f>
        <v>1</v>
      </c>
      <c r="AE73" s="185">
        <v>136</v>
      </c>
      <c r="AF73" s="95">
        <f>IF(SUM(AE73:AE75)+AE87=0,0,IF(ABS(SUM(AE73:AE75))=AE87,0.5,IF(ABS(SUM(AE73:AE75))&gt;AE87,1,0)))</f>
        <v>0</v>
      </c>
      <c r="AG73" s="194">
        <f t="shared" si="59"/>
        <v>1121</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1121</v>
      </c>
      <c r="BF73" s="223">
        <f t="shared" si="62"/>
        <v>6</v>
      </c>
      <c r="BG73" s="223">
        <f t="shared" si="63"/>
        <v>6</v>
      </c>
      <c r="BH73" s="223">
        <f t="shared" si="64"/>
        <v>234</v>
      </c>
      <c r="BI73" s="223">
        <f t="shared" si="65"/>
        <v>215</v>
      </c>
      <c r="BJ73" s="223">
        <f t="shared" si="66"/>
        <v>175</v>
      </c>
      <c r="BK73" s="223">
        <f t="shared" si="67"/>
        <v>181</v>
      </c>
      <c r="BL73" s="223">
        <f t="shared" si="68"/>
        <v>180</v>
      </c>
      <c r="BM73" s="223">
        <f t="shared" si="69"/>
        <v>136</v>
      </c>
      <c r="BN73" s="224"/>
      <c r="BO73" s="222"/>
      <c r="BP73" s="223">
        <f t="shared" si="70"/>
        <v>234</v>
      </c>
      <c r="BQ73" s="223">
        <f t="shared" si="71"/>
        <v>234.000000073</v>
      </c>
      <c r="BR73" s="223" t="str">
        <f t="shared" si="76"/>
        <v>Mainauenbowler Bayreuth Land</v>
      </c>
      <c r="BS73" s="222">
        <f t="shared" si="72"/>
        <v>1</v>
      </c>
      <c r="BT73" s="223">
        <f t="shared" si="77"/>
        <v>1121</v>
      </c>
      <c r="BU73" s="223">
        <f>IF(COUNTIF(BH73:BM73,"&gt;0")&lt;Spielorte!$A$23,0,BE73/Spielorte!$A$23)</f>
        <v>186.83333333333334</v>
      </c>
      <c r="BV73" s="223">
        <f t="shared" si="73"/>
        <v>186.83333340633334</v>
      </c>
      <c r="BW73" s="222">
        <f t="shared" si="74"/>
        <v>1</v>
      </c>
    </row>
    <row r="74" spans="1:75" ht="17.100000000000001" customHeight="1" x14ac:dyDescent="0.25">
      <c r="A74" s="378"/>
      <c r="B74" s="19" t="str">
        <f t="shared" si="75"/>
        <v/>
      </c>
      <c r="C74" s="20" t="str">
        <f t="shared" si="75"/>
        <v/>
      </c>
      <c r="D74" s="15" t="str">
        <f t="shared" si="75"/>
        <v/>
      </c>
      <c r="E74" s="357"/>
      <c r="F74" s="15" t="str">
        <f t="shared" si="54"/>
        <v/>
      </c>
      <c r="G74" s="357"/>
      <c r="H74" s="15" t="str">
        <f t="shared" si="55"/>
        <v/>
      </c>
      <c r="I74" s="357"/>
      <c r="J74" s="15" t="str">
        <f t="shared" si="56"/>
        <v/>
      </c>
      <c r="K74" s="357"/>
      <c r="L74" s="15" t="str">
        <f t="shared" si="57"/>
        <v/>
      </c>
      <c r="M74" s="357"/>
      <c r="N74" s="15" t="str">
        <f t="shared" si="58"/>
        <v/>
      </c>
      <c r="O74" s="357"/>
      <c r="R74" s="360"/>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9"/>
      <c r="B75" s="21" t="str">
        <f t="shared" si="75"/>
        <v/>
      </c>
      <c r="C75" s="22" t="str">
        <f t="shared" si="75"/>
        <v/>
      </c>
      <c r="D75" s="9" t="str">
        <f t="shared" si="75"/>
        <v/>
      </c>
      <c r="E75" s="358"/>
      <c r="F75" s="9" t="str">
        <f t="shared" si="54"/>
        <v/>
      </c>
      <c r="G75" s="358"/>
      <c r="H75" s="9" t="str">
        <f t="shared" si="55"/>
        <v/>
      </c>
      <c r="I75" s="358"/>
      <c r="J75" s="9" t="str">
        <f t="shared" si="56"/>
        <v/>
      </c>
      <c r="K75" s="358"/>
      <c r="L75" s="9" t="str">
        <f t="shared" si="57"/>
        <v/>
      </c>
      <c r="M75" s="358"/>
      <c r="N75" s="9" t="str">
        <f t="shared" si="58"/>
        <v/>
      </c>
      <c r="O75" s="358"/>
      <c r="R75" s="361"/>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7" t="s">
        <v>11</v>
      </c>
      <c r="B76" s="17" t="str">
        <f>IF(S76=0,"",S76)</f>
        <v>Bräutigam, Marion</v>
      </c>
      <c r="C76" s="18">
        <f t="shared" si="75"/>
        <v>7860</v>
      </c>
      <c r="D76" s="14">
        <f t="shared" si="75"/>
        <v>170</v>
      </c>
      <c r="E76" s="356">
        <f>IF(V76="","",V76)</f>
        <v>1</v>
      </c>
      <c r="F76" s="14">
        <f t="shared" si="54"/>
        <v>168</v>
      </c>
      <c r="G76" s="356">
        <f>IF(X76="","",X76)</f>
        <v>0</v>
      </c>
      <c r="H76" s="14">
        <f t="shared" si="55"/>
        <v>190</v>
      </c>
      <c r="I76" s="356">
        <f>IF(Z76="","",Z76)</f>
        <v>1</v>
      </c>
      <c r="J76" s="14">
        <f t="shared" si="56"/>
        <v>134</v>
      </c>
      <c r="K76" s="356">
        <f>IF(AB76="","",AB76)</f>
        <v>0</v>
      </c>
      <c r="L76" s="14">
        <f t="shared" si="57"/>
        <v>132</v>
      </c>
      <c r="M76" s="356">
        <f>IF(AD76="","",AD76)</f>
        <v>0</v>
      </c>
      <c r="N76" s="14">
        <f t="shared" si="58"/>
        <v>981</v>
      </c>
      <c r="O76" s="356">
        <f>IF(AH76="","",AH76)</f>
        <v>3</v>
      </c>
      <c r="R76" s="359" t="s">
        <v>11</v>
      </c>
      <c r="S76" s="67" t="str">
        <f>IF(T76=0,"",VLOOKUP(T76,Starter!$A$1:$D$187,2,FALSE))</f>
        <v>Bräutigam, Marion</v>
      </c>
      <c r="T76" s="177">
        <v>7860</v>
      </c>
      <c r="U76" s="185">
        <v>170</v>
      </c>
      <c r="V76" s="95">
        <f>IF(SUM(U76:U78)+U88=0,0,IF(ABS(SUM(U76:U78))=U88,0.5,IF(ABS(SUM(U76:U78))&gt;U88,1,0)))</f>
        <v>1</v>
      </c>
      <c r="W76" s="185">
        <v>168</v>
      </c>
      <c r="X76" s="95">
        <f>IF(SUM(W76:W78)+W88=0,0,IF(ABS(SUM(W76:W78))=W88,0.5,IF(ABS(SUM(W76:W78))&gt;W88,1,0)))</f>
        <v>0</v>
      </c>
      <c r="Y76" s="185">
        <v>190</v>
      </c>
      <c r="Z76" s="95">
        <f>IF(SUM(Y76:Y78)+Y88=0,0,IF(ABS(SUM(Y76:Y78))=Y88,0.5,IF(ABS(SUM(Y76:Y78))&gt;Y88,1,0)))</f>
        <v>1</v>
      </c>
      <c r="AA76" s="185">
        <v>134</v>
      </c>
      <c r="AB76" s="95">
        <f>IF(SUM(AA76:AA78)+AA88=0,0,IF(ABS(SUM(AA76:AA78))=AA88,0.5,IF(ABS(SUM(AA76:AA78))&gt;AA88,1,0)))</f>
        <v>0</v>
      </c>
      <c r="AC76" s="185">
        <v>132</v>
      </c>
      <c r="AD76" s="95">
        <f>IF(SUM(AC76:AC78)+AC88=0,0,IF(ABS(SUM(AC76:AC78))=AC88,0.5,IF(ABS(SUM(AC76:AC78))&gt;AC88,1,0)))</f>
        <v>0</v>
      </c>
      <c r="AE76" s="185">
        <v>187</v>
      </c>
      <c r="AF76" s="95">
        <f>IF(SUM(AE76:AE78)+AE88=0,0,IF(ABS(SUM(AE76:AE78))=AE88,0.5,IF(ABS(SUM(AE76:AE78))&gt;AE88,1,0)))</f>
        <v>1</v>
      </c>
      <c r="AG76" s="194">
        <f t="shared" si="59"/>
        <v>981</v>
      </c>
      <c r="AH76" s="179">
        <f>SUM(V76+X76+Z76+AB76+AD76+AF76)</f>
        <v>3</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981</v>
      </c>
      <c r="BF76" s="223">
        <f t="shared" si="62"/>
        <v>6</v>
      </c>
      <c r="BG76" s="223">
        <f t="shared" si="63"/>
        <v>6</v>
      </c>
      <c r="BH76" s="223">
        <f t="shared" si="64"/>
        <v>170</v>
      </c>
      <c r="BI76" s="223">
        <f t="shared" si="65"/>
        <v>168</v>
      </c>
      <c r="BJ76" s="223">
        <f t="shared" si="66"/>
        <v>190</v>
      </c>
      <c r="BK76" s="223">
        <f t="shared" si="67"/>
        <v>134</v>
      </c>
      <c r="BL76" s="223">
        <f t="shared" si="68"/>
        <v>132</v>
      </c>
      <c r="BM76" s="223">
        <f t="shared" si="69"/>
        <v>187</v>
      </c>
      <c r="BN76" s="224"/>
      <c r="BO76" s="222"/>
      <c r="BP76" s="223">
        <f t="shared" si="70"/>
        <v>190</v>
      </c>
      <c r="BQ76" s="223">
        <f t="shared" si="71"/>
        <v>0</v>
      </c>
      <c r="BR76" s="223" t="str">
        <f t="shared" si="76"/>
        <v>Mainauenbowler Bayreuth Land</v>
      </c>
      <c r="BS76" s="222">
        <f t="shared" si="72"/>
        <v>2</v>
      </c>
      <c r="BT76" s="223">
        <f t="shared" si="77"/>
        <v>981</v>
      </c>
      <c r="BU76" s="223">
        <f>IF(COUNTIF(BH76:BM76,"&gt;0")&lt;Spielorte!$A$23,0,BE76/Spielorte!$A$23)</f>
        <v>163.5</v>
      </c>
      <c r="BV76" s="223">
        <f t="shared" si="73"/>
        <v>0</v>
      </c>
      <c r="BW76" s="222">
        <f t="shared" si="74"/>
        <v>0</v>
      </c>
    </row>
    <row r="77" spans="1:75" ht="17.100000000000001" customHeight="1" x14ac:dyDescent="0.25">
      <c r="A77" s="378"/>
      <c r="B77" s="19" t="str">
        <f>IF(S77=0,"",S77)</f>
        <v/>
      </c>
      <c r="C77" s="20" t="str">
        <f t="shared" si="75"/>
        <v/>
      </c>
      <c r="D77" s="15" t="str">
        <f t="shared" si="75"/>
        <v/>
      </c>
      <c r="E77" s="357"/>
      <c r="F77" s="15" t="str">
        <f t="shared" si="54"/>
        <v/>
      </c>
      <c r="G77" s="357"/>
      <c r="H77" s="15" t="str">
        <f t="shared" si="55"/>
        <v/>
      </c>
      <c r="I77" s="357"/>
      <c r="J77" s="15" t="str">
        <f t="shared" si="56"/>
        <v/>
      </c>
      <c r="K77" s="357"/>
      <c r="L77" s="15" t="str">
        <f t="shared" si="57"/>
        <v/>
      </c>
      <c r="M77" s="357"/>
      <c r="N77" s="15" t="str">
        <f t="shared" si="58"/>
        <v/>
      </c>
      <c r="O77" s="357"/>
      <c r="R77" s="360"/>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9"/>
      <c r="B78" s="21" t="str">
        <f>IF(S78=0,"",S78)</f>
        <v/>
      </c>
      <c r="C78" s="22" t="str">
        <f t="shared" si="75"/>
        <v/>
      </c>
      <c r="D78" s="9" t="str">
        <f t="shared" si="75"/>
        <v/>
      </c>
      <c r="E78" s="358"/>
      <c r="F78" s="9" t="str">
        <f t="shared" si="54"/>
        <v/>
      </c>
      <c r="G78" s="358"/>
      <c r="H78" s="9" t="str">
        <f t="shared" si="55"/>
        <v/>
      </c>
      <c r="I78" s="358"/>
      <c r="J78" s="9" t="str">
        <f t="shared" si="56"/>
        <v/>
      </c>
      <c r="K78" s="358"/>
      <c r="L78" s="9" t="str">
        <f t="shared" si="57"/>
        <v/>
      </c>
      <c r="M78" s="358"/>
      <c r="N78" s="9" t="str">
        <f t="shared" si="58"/>
        <v/>
      </c>
      <c r="O78" s="358"/>
      <c r="R78" s="361"/>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701</v>
      </c>
      <c r="E79" s="12">
        <f>IF(V79="","",V79)</f>
        <v>2</v>
      </c>
      <c r="F79" s="16">
        <f t="shared" si="54"/>
        <v>668</v>
      </c>
      <c r="G79" s="12">
        <f>IF(X79="","",X79)</f>
        <v>2</v>
      </c>
      <c r="H79" s="16">
        <f t="shared" si="55"/>
        <v>657</v>
      </c>
      <c r="I79" s="12">
        <f>IF(Z79="","",Z79)</f>
        <v>2</v>
      </c>
      <c r="J79" s="16">
        <f t="shared" si="56"/>
        <v>622</v>
      </c>
      <c r="K79" s="12">
        <f>IF(AB79="","",AB79)</f>
        <v>2</v>
      </c>
      <c r="L79" s="16">
        <f t="shared" si="57"/>
        <v>676</v>
      </c>
      <c r="M79" s="12">
        <f>IF(AD79="","",AD79)</f>
        <v>2</v>
      </c>
      <c r="N79" s="16">
        <f t="shared" si="58"/>
        <v>3899</v>
      </c>
      <c r="O79" s="12">
        <f>IF(AH79="","",AH79)</f>
        <v>10</v>
      </c>
      <c r="S79" s="11" t="s">
        <v>1788</v>
      </c>
      <c r="T79" s="70"/>
      <c r="U79" s="187">
        <f>ABS(SUM(U67:U69))+ABS(SUM(U70:U72))+ABS(SUM(U73:U75))+ABS(SUM(U76:U78))</f>
        <v>701</v>
      </c>
      <c r="V79" s="98">
        <f>IF(U79+U89=0,0,IF(U79=U89,1,IF(U79&gt;U89,2,0)))</f>
        <v>2</v>
      </c>
      <c r="W79" s="187">
        <f>ABS(SUM(W67:W69))+ABS(SUM(W70:W72))+ABS(SUM(W73:W75))+ABS(SUM(W76:W78))</f>
        <v>668</v>
      </c>
      <c r="X79" s="98">
        <f>IF(W79+W89=0,0,IF(W79=W89,1,IF(W79&gt;W89,2,0)))</f>
        <v>2</v>
      </c>
      <c r="Y79" s="187">
        <f>ABS(SUM(Y67:Y69))+ABS(SUM(Y70:Y72))+ABS(SUM(Y73:Y75))+ABS(SUM(Y76:Y78))</f>
        <v>657</v>
      </c>
      <c r="Z79" s="98">
        <f>IF(Y79+Y89=0,0,IF(Y79=Y89,1,IF(Y79&gt;Y89,2,0)))</f>
        <v>2</v>
      </c>
      <c r="AA79" s="187">
        <f>ABS(SUM(AA67:AA69))+ABS(SUM(AA70:AA72))+ABS(SUM(AA73:AA75))+ABS(SUM(AA76:AA78))</f>
        <v>622</v>
      </c>
      <c r="AB79" s="98">
        <f>IF(AA79+AA89=0,0,IF(AA79=AA89,1,IF(AA79&gt;AA89,2,0)))</f>
        <v>2</v>
      </c>
      <c r="AC79" s="187">
        <f>ABS(SUM(AC67:AC69))+ABS(SUM(AC70:AC72))+ABS(SUM(AC73:AC75))+ABS(SUM(AC76:AC78))</f>
        <v>676</v>
      </c>
      <c r="AD79" s="98">
        <f>IF(AC79+AC89=0,0,IF(AC79=AC89,1,IF(AC79&gt;AC89,2,0)))</f>
        <v>2</v>
      </c>
      <c r="AE79" s="187">
        <f>ABS(SUM(AE67:AE69))+ABS(SUM(AE70:AE72))+ABS(SUM(AE73:AE75))+ABS(SUM(AE76:AE78))</f>
        <v>575</v>
      </c>
      <c r="AF79" s="98">
        <f>IF(AE79+AE89=0,0,IF(AE79=AE89,1,IF(AE79&gt;AE89,2,0)))</f>
        <v>0</v>
      </c>
      <c r="AG79" s="197">
        <f>SUM(U79+W79+Y79+AA79+AC79+AE79)</f>
        <v>3899</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5</v>
      </c>
      <c r="H80" s="1" t="str">
        <f t="shared" si="55"/>
        <v/>
      </c>
      <c r="I80" s="23">
        <f>IF(Z80="","",Z80)</f>
        <v>5</v>
      </c>
      <c r="J80" s="1" t="str">
        <f t="shared" si="56"/>
        <v/>
      </c>
      <c r="K80" s="23">
        <f>IF(AB80="","",AB80)</f>
        <v>3.5</v>
      </c>
      <c r="L80" s="1" t="str">
        <f t="shared" si="57"/>
        <v/>
      </c>
      <c r="M80" s="23">
        <f>IF(AD80="","",AD80)</f>
        <v>4</v>
      </c>
      <c r="N80" s="1" t="str">
        <f t="shared" si="58"/>
        <v/>
      </c>
      <c r="O80" s="23">
        <f>IF(AH80="","",AH80)</f>
        <v>23.5</v>
      </c>
      <c r="S80" s="8" t="s">
        <v>1799</v>
      </c>
      <c r="T80" s="1"/>
      <c r="U80" s="1"/>
      <c r="V80" s="71">
        <f>SUM(V67:V79)</f>
        <v>5</v>
      </c>
      <c r="W80" s="1"/>
      <c r="X80" s="71">
        <f>SUM(X67:X79)</f>
        <v>5</v>
      </c>
      <c r="Y80" s="1"/>
      <c r="Z80" s="71">
        <f>SUM(Z67:Z79)</f>
        <v>5</v>
      </c>
      <c r="AA80" s="1"/>
      <c r="AB80" s="71">
        <f>SUM(AB67:AB79)</f>
        <v>3.5</v>
      </c>
      <c r="AC80" s="1"/>
      <c r="AD80" s="71">
        <f>SUM(AD67:AD79)</f>
        <v>4</v>
      </c>
      <c r="AE80" s="1"/>
      <c r="AF80" s="71">
        <f>SUM(AF67:AF79)</f>
        <v>1</v>
      </c>
      <c r="AG80" s="1"/>
      <c r="AH80" s="71">
        <f>SUM(AH67:AH79)</f>
        <v>23.5</v>
      </c>
      <c r="AI80" s="94"/>
      <c r="AJ80" s="94"/>
      <c r="AK80" s="94"/>
      <c r="AL80" s="94"/>
      <c r="AM80" s="94"/>
      <c r="AN80" s="94"/>
      <c r="AO80" s="94"/>
      <c r="AP80" s="94"/>
      <c r="AQ80" s="94"/>
      <c r="AR80" s="94"/>
      <c r="AS80" s="94"/>
      <c r="AT80" s="94"/>
      <c r="AU80" s="94"/>
      <c r="AV80" s="94"/>
      <c r="AW80" s="94"/>
      <c r="AX80" s="94"/>
      <c r="AY80" s="94"/>
      <c r="AZ80" s="94"/>
      <c r="BA80" s="220">
        <f>IFERROR(AH80,0)</f>
        <v>23.5</v>
      </c>
      <c r="BB80" s="221">
        <f>AG79</f>
        <v>3899</v>
      </c>
      <c r="BC80" s="222">
        <f>+S62</f>
        <v>3</v>
      </c>
      <c r="BF80" s="223">
        <f>SUM(BF61:BF79)</f>
        <v>24</v>
      </c>
      <c r="BN80" s="220">
        <f>+BB80/1000000+BA80</f>
        <v>23.503899000000001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54">
        <f t="shared" si="78"/>
        <v>1</v>
      </c>
      <c r="E82" s="354" t="str">
        <f t="shared" si="78"/>
        <v/>
      </c>
      <c r="F82" s="354">
        <f t="shared" si="78"/>
        <v>1</v>
      </c>
      <c r="G82" s="354" t="str">
        <f t="shared" si="78"/>
        <v/>
      </c>
      <c r="H82" s="354">
        <f t="shared" si="78"/>
        <v>1</v>
      </c>
      <c r="I82" s="354" t="str">
        <f t="shared" si="78"/>
        <v/>
      </c>
      <c r="J82" s="354">
        <f t="shared" si="78"/>
        <v>1</v>
      </c>
      <c r="K82" s="354" t="str">
        <f t="shared" si="78"/>
        <v/>
      </c>
      <c r="L82" s="354">
        <f t="shared" ref="L82:M84" si="79">IF(AC82=0,"",AC82)</f>
        <v>1</v>
      </c>
      <c r="M82" s="354" t="str">
        <f t="shared" si="79"/>
        <v/>
      </c>
      <c r="N82" s="355"/>
      <c r="O82" s="355"/>
      <c r="S82" s="13" t="s">
        <v>1786</v>
      </c>
      <c r="T82" s="5" t="s">
        <v>1787</v>
      </c>
      <c r="U82" s="373">
        <f>VLOOKUP($S62,Schlüssel!$A$5:$CX$10,43)</f>
        <v>1</v>
      </c>
      <c r="V82" s="374"/>
      <c r="W82" s="373">
        <f>VLOOKUP($S62,Schlüssel!$A$5:$DQ$10,44)</f>
        <v>1</v>
      </c>
      <c r="X82" s="374"/>
      <c r="Y82" s="373">
        <f>VLOOKUP($S62,Schlüssel!$A$5:$DQ$10,45)</f>
        <v>1</v>
      </c>
      <c r="Z82" s="374"/>
      <c r="AA82" s="373">
        <f>VLOOKUP($S62,Schlüssel!$A$5:$DQ$10,46)</f>
        <v>1</v>
      </c>
      <c r="AB82" s="374"/>
      <c r="AC82" s="373">
        <f>VLOOKUP($S62,Schlüssel!$A$5:$DQ$10,47)</f>
        <v>1</v>
      </c>
      <c r="AD82" s="374"/>
      <c r="AE82" s="373">
        <f>VLOOKUP($S62,Schlüssel!$A$5:$DQ$10,48)</f>
        <v>1</v>
      </c>
      <c r="AF82" s="374"/>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51" t="str">
        <f t="shared" si="78"/>
        <v>Kleeblatt Fürth</v>
      </c>
      <c r="E83" s="352" t="str">
        <f t="shared" si="78"/>
        <v/>
      </c>
      <c r="F83" s="351" t="str">
        <f t="shared" si="78"/>
        <v>Kleeblatt Fürth</v>
      </c>
      <c r="G83" s="352" t="str">
        <f t="shared" si="78"/>
        <v/>
      </c>
      <c r="H83" s="351" t="str">
        <f t="shared" si="78"/>
        <v>Kleeblatt Fürth</v>
      </c>
      <c r="I83" s="352" t="str">
        <f t="shared" si="78"/>
        <v/>
      </c>
      <c r="J83" s="351" t="str">
        <f t="shared" si="78"/>
        <v>Kleeblatt Fürth</v>
      </c>
      <c r="K83" s="352" t="str">
        <f t="shared" si="78"/>
        <v/>
      </c>
      <c r="L83" s="351" t="str">
        <f t="shared" si="79"/>
        <v>Kleeblatt Fürth</v>
      </c>
      <c r="M83" s="352" t="str">
        <f t="shared" si="79"/>
        <v/>
      </c>
      <c r="N83" s="353"/>
      <c r="O83" s="353"/>
      <c r="S83" s="4"/>
      <c r="T83" s="1"/>
      <c r="U83" s="351" t="str">
        <f>VLOOKUP(U82,Schlüssel!$A$5:$K$10,2)</f>
        <v>Kleeblatt Fürth</v>
      </c>
      <c r="V83" s="352"/>
      <c r="W83" s="351" t="str">
        <f>VLOOKUP(W82,Schlüssel!$A$5:$K$10,2)</f>
        <v>Kleeblatt Fürth</v>
      </c>
      <c r="X83" s="352"/>
      <c r="Y83" s="351" t="str">
        <f>VLOOKUP(Y82,Schlüssel!$A$5:$K$10,2)</f>
        <v>Kleeblatt Fürth</v>
      </c>
      <c r="Z83" s="352"/>
      <c r="AA83" s="351" t="str">
        <f>VLOOKUP(AA82,Schlüssel!$A$5:$K$10,2)</f>
        <v>Kleeblatt Fürth</v>
      </c>
      <c r="AB83" s="352"/>
      <c r="AC83" s="351" t="str">
        <f>VLOOKUP(AC82,Schlüssel!$A$5:$K$10,2)</f>
        <v>Kleeblatt Fürth</v>
      </c>
      <c r="AD83" s="352"/>
      <c r="AE83" s="351" t="str">
        <f>VLOOKUP(AE82,Schlüssel!$A$5:$K$10,2)</f>
        <v>Kleeblatt Fürth</v>
      </c>
      <c r="AF83" s="35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50" t="str">
        <f t="shared" si="78"/>
        <v/>
      </c>
      <c r="E84" s="350" t="str">
        <f t="shared" si="78"/>
        <v/>
      </c>
      <c r="F84" s="350" t="str">
        <f t="shared" si="78"/>
        <v/>
      </c>
      <c r="G84" s="350" t="str">
        <f t="shared" si="78"/>
        <v/>
      </c>
      <c r="H84" s="350" t="str">
        <f t="shared" si="78"/>
        <v/>
      </c>
      <c r="I84" s="350" t="str">
        <f t="shared" si="78"/>
        <v/>
      </c>
      <c r="J84" s="350" t="str">
        <f t="shared" si="78"/>
        <v/>
      </c>
      <c r="K84" s="350" t="str">
        <f t="shared" si="78"/>
        <v/>
      </c>
      <c r="L84" s="350" t="str">
        <f t="shared" si="79"/>
        <v/>
      </c>
      <c r="M84" s="350"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5" t="str">
        <f t="shared" ref="B85:C89" si="80">IF(S85=0,"",S85)</f>
        <v>Spieler 1</v>
      </c>
      <c r="C85" s="376" t="str">
        <f t="shared" si="80"/>
        <v/>
      </c>
      <c r="D85" s="348">
        <f>IF(U85=301,"",U85)</f>
        <v>159</v>
      </c>
      <c r="E85" s="348" t="str">
        <f>IF(V85=0,"",V85)</f>
        <v/>
      </c>
      <c r="F85" s="348">
        <f>IF(W85=301,"",W85)</f>
        <v>120</v>
      </c>
      <c r="G85" s="348" t="str">
        <f>IF(X85=0,"",X85)</f>
        <v/>
      </c>
      <c r="H85" s="348">
        <f>IF(Y85=301,"",Y85)</f>
        <v>178</v>
      </c>
      <c r="I85" s="348" t="str">
        <f>IF(Z85=0,"",Z85)</f>
        <v/>
      </c>
      <c r="J85" s="348">
        <f>IF(AA85=301,"",AA85)</f>
        <v>157</v>
      </c>
      <c r="K85" s="348" t="str">
        <f>IF(AB85=0,"",AB85)</f>
        <v/>
      </c>
      <c r="L85" s="348">
        <f>IF(AC85=301,"",AC85)</f>
        <v>179</v>
      </c>
      <c r="M85" s="348" t="str">
        <f>IF(AD85=0,"",AD85)</f>
        <v/>
      </c>
      <c r="N85" s="349"/>
      <c r="O85" s="349"/>
      <c r="S85" s="35" t="s">
        <v>0</v>
      </c>
      <c r="T85" s="36"/>
      <c r="U85" s="371">
        <f>ABS(INDEX(U:U,MATCH(U82,$S:$S,0)+5)+INDEX(U:U,MATCH(U82,$S:$S,0)+6)+INDEX(U:U,MATCH(U82,$S:$S,0)+7))</f>
        <v>159</v>
      </c>
      <c r="V85" s="372"/>
      <c r="W85" s="371">
        <f>ABS(INDEX(W:W,MATCH(W82,$S:$S,0)+5)+INDEX(W:W,MATCH(W82,$S:$S,0)+6)+INDEX(W:W,MATCH(W82,$S:$S,0)+7))</f>
        <v>120</v>
      </c>
      <c r="X85" s="372"/>
      <c r="Y85" s="371">
        <f>ABS(INDEX(Y:Y,MATCH(Y82,$S:$S,0)+5)+INDEX(Y:Y,MATCH(Y82,$S:$S,0)+6)+INDEX(Y:Y,MATCH(Y82,$S:$S,0)+7))</f>
        <v>178</v>
      </c>
      <c r="Z85" s="372"/>
      <c r="AA85" s="371">
        <f>ABS(INDEX(AA:AA,MATCH(AA82,$S:$S,0)+5)+INDEX(AA:AA,MATCH(AA82,$S:$S,0)+6)+INDEX(AA:AA,MATCH(AA82,$S:$S,0)+7))</f>
        <v>157</v>
      </c>
      <c r="AB85" s="372"/>
      <c r="AC85" s="371">
        <f>ABS(INDEX(AC:AC,MATCH(AC82,$S:$S,0)+5)+INDEX(AC:AC,MATCH(AC82,$S:$S,0)+6)+INDEX(AC:AC,MATCH(AC82,$S:$S,0)+7))</f>
        <v>179</v>
      </c>
      <c r="AD85" s="372"/>
      <c r="AE85" s="371">
        <f>ABS(INDEX(AE:AE,MATCH(AE82,$S:$S,0)+5)+INDEX(AE:AE,MATCH(AE82,$S:$S,0)+6)+INDEX(AE:AE,MATCH(AE82,$S:$S,0)+7))</f>
        <v>136</v>
      </c>
      <c r="AF85" s="372"/>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5" t="str">
        <f t="shared" si="80"/>
        <v>Spieler 2</v>
      </c>
      <c r="C86" s="376" t="str">
        <f t="shared" si="80"/>
        <v/>
      </c>
      <c r="D86" s="348">
        <f>IF(U86=301,"",U86)</f>
        <v>160</v>
      </c>
      <c r="E86" s="348" t="str">
        <f>IF(V86=0,"",V86)</f>
        <v/>
      </c>
      <c r="F86" s="348">
        <f>IF(W86=301,"",W86)</f>
        <v>128</v>
      </c>
      <c r="G86" s="348" t="str">
        <f>IF(X86=0,"",X86)</f>
        <v/>
      </c>
      <c r="H86" s="348">
        <f>IF(Y86=301,"",Y86)</f>
        <v>135</v>
      </c>
      <c r="I86" s="348" t="str">
        <f>IF(Z86=0,"",Z86)</f>
        <v/>
      </c>
      <c r="J86" s="348">
        <f>IF(AA86=301,"",AA86)</f>
        <v>151</v>
      </c>
      <c r="K86" s="348" t="str">
        <f>IF(AB86=0,"",AB86)</f>
        <v/>
      </c>
      <c r="L86" s="348">
        <f>IF(AC86=301,"",AC86)</f>
        <v>156</v>
      </c>
      <c r="M86" s="348" t="str">
        <f>IF(AD86=0,"",AD86)</f>
        <v/>
      </c>
      <c r="N86" s="349"/>
      <c r="O86" s="349"/>
      <c r="S86" s="35" t="s">
        <v>2</v>
      </c>
      <c r="T86" s="36"/>
      <c r="U86" s="369">
        <f>ABS(INDEX(U:U,MATCH(U82,$S:$S,0)+8)+INDEX(U:U,MATCH(U82,$S:$S,0)+9)+INDEX(U:U,MATCH(U82,$S:$S,0)+10))</f>
        <v>160</v>
      </c>
      <c r="V86" s="370"/>
      <c r="W86" s="369">
        <f>ABS(INDEX(W:W,MATCH(W82,$S:$S,0)+8)+INDEX(W:W,MATCH(W82,$S:$S,0)+9)+INDEX(W:W,MATCH(W82,$S:$S,0)+10))</f>
        <v>128</v>
      </c>
      <c r="X86" s="370"/>
      <c r="Y86" s="369">
        <f>ABS(INDEX(Y:Y,MATCH(Y82,$S:$S,0)+8)+INDEX(Y:Y,MATCH(Y82,$S:$S,0)+9)+INDEX(Y:Y,MATCH(Y82,$S:$S,0)+10))</f>
        <v>135</v>
      </c>
      <c r="Z86" s="370"/>
      <c r="AA86" s="369">
        <f>ABS(INDEX(AA:AA,MATCH(AA82,$S:$S,0)+8)+INDEX(AA:AA,MATCH(AA82,$S:$S,0)+9)+INDEX(AA:AA,MATCH(AA82,$S:$S,0)+10))</f>
        <v>151</v>
      </c>
      <c r="AB86" s="370"/>
      <c r="AC86" s="369">
        <f>ABS(INDEX(AC:AC,MATCH(AC82,$S:$S,0)+8)+INDEX(AC:AC,MATCH(AC82,$S:$S,0)+9)+INDEX(AC:AC,MATCH(AC82,$S:$S,0)+10))</f>
        <v>156</v>
      </c>
      <c r="AD86" s="370"/>
      <c r="AE86" s="369">
        <f>ABS(INDEX(AE:AE,MATCH(AE82,$S:$S,0)+8)+INDEX(AE:AE,MATCH(AE82,$S:$S,0)+9)+INDEX(AE:AE,MATCH(AE82,$S:$S,0)+10))</f>
        <v>176</v>
      </c>
      <c r="AF86" s="370"/>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5" t="str">
        <f t="shared" si="80"/>
        <v>Spieler 3</v>
      </c>
      <c r="C87" s="376" t="str">
        <f t="shared" si="80"/>
        <v/>
      </c>
      <c r="D87" s="348">
        <f>IF(U87=301,"",U87)</f>
        <v>164</v>
      </c>
      <c r="E87" s="348" t="str">
        <f>IF(V87=0,"",V87)</f>
        <v/>
      </c>
      <c r="F87" s="348">
        <f>IF(W87=301,"",W87)</f>
        <v>149</v>
      </c>
      <c r="G87" s="348" t="str">
        <f>IF(X87=0,"",X87)</f>
        <v/>
      </c>
      <c r="H87" s="348">
        <f>IF(Y87=301,"",Y87)</f>
        <v>119</v>
      </c>
      <c r="I87" s="348" t="str">
        <f>IF(Z87=0,"",Z87)</f>
        <v/>
      </c>
      <c r="J87" s="348">
        <f>IF(AA87=301,"",AA87)</f>
        <v>147</v>
      </c>
      <c r="K87" s="348" t="str">
        <f>IF(AB87=0,"",AB87)</f>
        <v/>
      </c>
      <c r="L87" s="348">
        <f>IF(AC87=301,"",AC87)</f>
        <v>154</v>
      </c>
      <c r="M87" s="348" t="str">
        <f>IF(AD87=0,"",AD87)</f>
        <v/>
      </c>
      <c r="N87" s="349"/>
      <c r="O87" s="349"/>
      <c r="S87" s="35" t="s">
        <v>3</v>
      </c>
      <c r="T87" s="36"/>
      <c r="U87" s="369">
        <f>ABS(INDEX(U:U,MATCH(U82,$S:$S,0)+11)+INDEX(U:U,MATCH(U82,$S:$S,0)+12)+INDEX(U:U,MATCH(U82,$S:$S,0)+13))</f>
        <v>164</v>
      </c>
      <c r="V87" s="370"/>
      <c r="W87" s="369">
        <f>ABS(INDEX(W:W,MATCH(W82,$S:$S,0)+11)+INDEX(W:W,MATCH(W82,$S:$S,0)+12)+INDEX(W:W,MATCH(W82,$S:$S,0)+13))</f>
        <v>149</v>
      </c>
      <c r="X87" s="370"/>
      <c r="Y87" s="369">
        <f>ABS(INDEX(Y:Y,MATCH(Y82,$S:$S,0)+11)+INDEX(Y:Y,MATCH(Y82,$S:$S,0)+12)+INDEX(Y:Y,MATCH(Y82,$S:$S,0)+13))</f>
        <v>119</v>
      </c>
      <c r="Z87" s="370"/>
      <c r="AA87" s="369">
        <f>ABS(INDEX(AA:AA,MATCH(AA82,$S:$S,0)+11)+INDEX(AA:AA,MATCH(AA82,$S:$S,0)+12)+INDEX(AA:AA,MATCH(AA82,$S:$S,0)+13))</f>
        <v>147</v>
      </c>
      <c r="AB87" s="370"/>
      <c r="AC87" s="369">
        <f>ABS(INDEX(AC:AC,MATCH(AC82,$S:$S,0)+11)+INDEX(AC:AC,MATCH(AC82,$S:$S,0)+12)+INDEX(AC:AC,MATCH(AC82,$S:$S,0)+13))</f>
        <v>154</v>
      </c>
      <c r="AD87" s="370"/>
      <c r="AE87" s="369">
        <f>ABS(INDEX(AE:AE,MATCH(AE82,$S:$S,0)+11)+INDEX(AE:AE,MATCH(AE82,$S:$S,0)+12)+INDEX(AE:AE,MATCH(AE82,$S:$S,0)+13))</f>
        <v>160</v>
      </c>
      <c r="AF87" s="370"/>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5" t="str">
        <f t="shared" si="80"/>
        <v>Spieler 4</v>
      </c>
      <c r="C88" s="376" t="str">
        <f t="shared" si="80"/>
        <v/>
      </c>
      <c r="D88" s="348">
        <f>IF(U88=301,"",U88)</f>
        <v>168</v>
      </c>
      <c r="E88" s="348" t="str">
        <f>IF(V88=0,"",V88)</f>
        <v/>
      </c>
      <c r="F88" s="348">
        <f>IF(W88=301,"",W88)</f>
        <v>211</v>
      </c>
      <c r="G88" s="348" t="str">
        <f>IF(X88=0,"",X88)</f>
        <v/>
      </c>
      <c r="H88" s="348">
        <f>IF(Y88=301,"",Y88)</f>
        <v>153</v>
      </c>
      <c r="I88" s="348" t="str">
        <f>IF(Z88=0,"",Z88)</f>
        <v/>
      </c>
      <c r="J88" s="348">
        <f>IF(AA88=301,"",AA88)</f>
        <v>151</v>
      </c>
      <c r="K88" s="348" t="str">
        <f>IF(AB88=0,"",AB88)</f>
        <v/>
      </c>
      <c r="L88" s="348">
        <f>IF(AC88=301,"",AC88)</f>
        <v>147</v>
      </c>
      <c r="M88" s="348" t="str">
        <f>IF(AD88=0,"",AD88)</f>
        <v/>
      </c>
      <c r="N88" s="349"/>
      <c r="O88" s="349"/>
      <c r="S88" s="35" t="s">
        <v>11</v>
      </c>
      <c r="T88" s="36"/>
      <c r="U88" s="369">
        <f>ABS(INDEX(U:U,MATCH(U82,$S:$S,0)+14)+INDEX(U:U,MATCH(U82,$S:$S,0)+15)+INDEX(U:U,MATCH(U82,$S:$S,0)+16))</f>
        <v>168</v>
      </c>
      <c r="V88" s="370"/>
      <c r="W88" s="369">
        <f>ABS(INDEX(W:W,MATCH(W82,$S:$S,0)+14)+INDEX(W:W,MATCH(W82,$S:$S,0)+15)+INDEX(W:W,MATCH(W82,$S:$S,0)+16))</f>
        <v>211</v>
      </c>
      <c r="X88" s="370"/>
      <c r="Y88" s="369">
        <f>ABS(INDEX(Y:Y,MATCH(Y82,$S:$S,0)+14)+INDEX(Y:Y,MATCH(Y82,$S:$S,0)+15)+INDEX(Y:Y,MATCH(Y82,$S:$S,0)+16))</f>
        <v>153</v>
      </c>
      <c r="Z88" s="370"/>
      <c r="AA88" s="369">
        <f>ABS(INDEX(AA:AA,MATCH(AA82,$S:$S,0)+14)+INDEX(AA:AA,MATCH(AA82,$S:$S,0)+15)+INDEX(AA:AA,MATCH(AA82,$S:$S,0)+16))</f>
        <v>151</v>
      </c>
      <c r="AB88" s="370"/>
      <c r="AC88" s="369">
        <f>ABS(INDEX(AC:AC,MATCH(AC82,$S:$S,0)+14)+INDEX(AC:AC,MATCH(AC82,$S:$S,0)+15)+INDEX(AC:AC,MATCH(AC82,$S:$S,0)+16))</f>
        <v>147</v>
      </c>
      <c r="AD88" s="370"/>
      <c r="AE88" s="369">
        <f>ABS(INDEX(AE:AE,MATCH(AE82,$S:$S,0)+14)+INDEX(AE:AE,MATCH(AE82,$S:$S,0)+15)+INDEX(AE:AE,MATCH(AE82,$S:$S,0)+16))</f>
        <v>162</v>
      </c>
      <c r="AF88" s="370"/>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3" t="str">
        <f t="shared" si="80"/>
        <v>Gesamt</v>
      </c>
      <c r="C89" s="364" t="str">
        <f t="shared" si="80"/>
        <v/>
      </c>
      <c r="D89" s="347">
        <f>IF(U89=1505,"",U89)</f>
        <v>651</v>
      </c>
      <c r="E89" s="347" t="str">
        <f>IF(V89=0,"",V89)</f>
        <v/>
      </c>
      <c r="F89" s="347">
        <f>IF(W89=1505,"",W89)</f>
        <v>608</v>
      </c>
      <c r="G89" s="347" t="str">
        <f>IF(X89=0,"",X89)</f>
        <v/>
      </c>
      <c r="H89" s="347">
        <f>IF(Y89=1505,"",Y89)</f>
        <v>585</v>
      </c>
      <c r="I89" s="347" t="str">
        <f>IF(Z89=0,"",Z89)</f>
        <v/>
      </c>
      <c r="J89" s="347">
        <f>IF(AA89=1505,"",AA89)</f>
        <v>606</v>
      </c>
      <c r="K89" s="347" t="str">
        <f>IF(AB89=0,"",AB89)</f>
        <v/>
      </c>
      <c r="L89" s="347">
        <f>IF(AC89=1505,"",AC89)</f>
        <v>636</v>
      </c>
      <c r="M89" s="347" t="str">
        <f>IF(AD89=0,"",AD89)</f>
        <v/>
      </c>
      <c r="N89" s="312"/>
      <c r="O89" s="312"/>
      <c r="S89" s="37" t="s">
        <v>1788</v>
      </c>
      <c r="T89" s="38"/>
      <c r="U89" s="363">
        <f>SUM(U85:U88)</f>
        <v>651</v>
      </c>
      <c r="V89" s="364"/>
      <c r="W89" s="363">
        <f>SUM(W85:W88)</f>
        <v>608</v>
      </c>
      <c r="X89" s="364"/>
      <c r="Y89" s="363">
        <f>SUM(Y85:Y88)</f>
        <v>585</v>
      </c>
      <c r="Z89" s="364"/>
      <c r="AA89" s="363">
        <f>SUM(AA85:AA88)</f>
        <v>606</v>
      </c>
      <c r="AB89" s="364"/>
      <c r="AC89" s="363">
        <f>SUM(AC85:AC88)</f>
        <v>636</v>
      </c>
      <c r="AD89" s="364"/>
      <c r="AE89" s="363">
        <f>SUM(AE85:AE88)</f>
        <v>634</v>
      </c>
      <c r="AF89" s="364"/>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 ref="AE23:AF23"/>
    <mergeCell ref="AE25:AF25"/>
    <mergeCell ref="AE26:AF26"/>
    <mergeCell ref="AE27:AF27"/>
    <mergeCell ref="AE28:AF28"/>
    <mergeCell ref="AE29:AF29"/>
    <mergeCell ref="AE53:AF53"/>
    <mergeCell ref="AE55:AF55"/>
    <mergeCell ref="AE56:AF56"/>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D85:E85"/>
    <mergeCell ref="F85:G85"/>
    <mergeCell ref="H85:I85"/>
    <mergeCell ref="J85:K85"/>
    <mergeCell ref="L85:M85"/>
    <mergeCell ref="U83:V83"/>
    <mergeCell ref="W83:X83"/>
    <mergeCell ref="Y83:Z83"/>
    <mergeCell ref="AA83:AB83"/>
    <mergeCell ref="U85:V85"/>
    <mergeCell ref="W85:X85"/>
    <mergeCell ref="Y85:Z85"/>
    <mergeCell ref="AA85:AB8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U57:V57"/>
    <mergeCell ref="W57:X57"/>
    <mergeCell ref="Y57:Z57"/>
    <mergeCell ref="AA57:AB57"/>
    <mergeCell ref="AC57:AD57"/>
    <mergeCell ref="U58:V58"/>
    <mergeCell ref="W58:X58"/>
    <mergeCell ref="Y58:Z58"/>
    <mergeCell ref="AA58:AB58"/>
    <mergeCell ref="AC58:AD58"/>
    <mergeCell ref="B58:C58"/>
    <mergeCell ref="D58:E58"/>
    <mergeCell ref="F58:G58"/>
    <mergeCell ref="H58:I58"/>
    <mergeCell ref="J58:K58"/>
    <mergeCell ref="L58:M58"/>
    <mergeCell ref="N58:O58"/>
    <mergeCell ref="B57:C57"/>
    <mergeCell ref="D57:E57"/>
    <mergeCell ref="F57:G57"/>
    <mergeCell ref="H57:I57"/>
    <mergeCell ref="J57:K57"/>
    <mergeCell ref="L57:M57"/>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B29:C29"/>
    <mergeCell ref="D29:E29"/>
    <mergeCell ref="F29:G29"/>
    <mergeCell ref="H29:I29"/>
    <mergeCell ref="J29:K29"/>
    <mergeCell ref="L29:M29"/>
    <mergeCell ref="N29:O29"/>
    <mergeCell ref="P31:R31"/>
    <mergeCell ref="AD31:AH31"/>
    <mergeCell ref="M31:O31"/>
    <mergeCell ref="B28:C28"/>
    <mergeCell ref="D28:E28"/>
    <mergeCell ref="F28:G28"/>
    <mergeCell ref="H28:I28"/>
    <mergeCell ref="J28:K28"/>
    <mergeCell ref="L28:M28"/>
    <mergeCell ref="N28:O28"/>
    <mergeCell ref="B27:C27"/>
    <mergeCell ref="D27:E27"/>
    <mergeCell ref="F27:G27"/>
    <mergeCell ref="H27:I27"/>
    <mergeCell ref="J27:K27"/>
    <mergeCell ref="L27:M27"/>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O7:O9"/>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U55:V55"/>
    <mergeCell ref="W55:X55"/>
    <mergeCell ref="Y55:Z55"/>
    <mergeCell ref="AA55:AB55"/>
    <mergeCell ref="AC55:AD55"/>
    <mergeCell ref="U56:V56"/>
    <mergeCell ref="W56:X56"/>
    <mergeCell ref="Y56:Z56"/>
    <mergeCell ref="AA56:AB56"/>
    <mergeCell ref="AC56:AD56"/>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AC85:AD85"/>
    <mergeCell ref="U86:V86"/>
    <mergeCell ref="W86:X86"/>
    <mergeCell ref="Y86:Z86"/>
    <mergeCell ref="AA86:AB86"/>
    <mergeCell ref="AC86:AD86"/>
    <mergeCell ref="U87:V87"/>
    <mergeCell ref="W87:X87"/>
    <mergeCell ref="Y87:Z87"/>
    <mergeCell ref="AA87:AB87"/>
    <mergeCell ref="AC87:AD87"/>
    <mergeCell ref="W89:X89"/>
    <mergeCell ref="Y89:Z89"/>
    <mergeCell ref="AA89:AB89"/>
    <mergeCell ref="AC89:AD89"/>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1200-000000000000}">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19"/>
  <sheetViews>
    <sheetView workbookViewId="0">
      <selection activeCell="T13" sqref="T13"/>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19" width="11.44140625" customWidth="1"/>
    <col min="20" max="20" width="14.44140625" customWidth="1"/>
    <col min="21"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82" t="str">
        <f>Schlüssel!$C$1</f>
        <v>Landesliga Nord Frauen</v>
      </c>
      <c r="B1" s="382"/>
      <c r="C1" s="382" t="s">
        <v>1782</v>
      </c>
      <c r="D1" s="382"/>
      <c r="E1" s="382"/>
      <c r="F1" s="382"/>
      <c r="G1" s="382"/>
      <c r="H1" s="382"/>
      <c r="I1" s="382"/>
      <c r="J1" s="382"/>
      <c r="K1" s="382"/>
      <c r="L1" s="382"/>
      <c r="M1" s="382"/>
      <c r="N1" s="382"/>
      <c r="O1" s="382"/>
      <c r="P1" s="382" t="str">
        <f>Schlüssel!BA1</f>
        <v>16.02.</v>
      </c>
      <c r="Q1" s="382"/>
      <c r="R1" s="51"/>
      <c r="S1" s="51"/>
      <c r="AA1" s="223" t="s">
        <v>2086</v>
      </c>
    </row>
    <row r="2" spans="1:31" ht="28.5" customHeight="1" x14ac:dyDescent="0.25">
      <c r="A2" s="383" t="str">
        <f>"Saison "&amp;Spielorte!C18&amp;"     -     Spieltag "&amp;Erfassung3!AD2&amp;"     -     "&amp;TEXT(Erfassung3!AD1,"T. MMMM JJJJ")</f>
        <v>Saison 2024/2025     -     Spieltag 3     -     16.02.</v>
      </c>
      <c r="B2" s="383"/>
      <c r="C2" s="383"/>
      <c r="D2" s="383"/>
      <c r="E2" s="383"/>
      <c r="F2" s="383"/>
      <c r="G2" s="383"/>
      <c r="H2" s="383"/>
      <c r="I2" s="383"/>
      <c r="J2" s="383"/>
      <c r="K2" s="383"/>
      <c r="L2" s="383"/>
      <c r="M2" s="383"/>
      <c r="N2" s="383"/>
      <c r="O2" s="383"/>
      <c r="P2" s="383"/>
      <c r="Q2" s="383"/>
      <c r="R2" s="51"/>
      <c r="S2" s="51"/>
    </row>
    <row r="3" spans="1:31" ht="28.5" customHeight="1" x14ac:dyDescent="0.25">
      <c r="A3" s="383" t="str">
        <f>Schlüssel!$AQ$2</f>
        <v>Nürnberg West Bowling</v>
      </c>
      <c r="B3" s="383"/>
      <c r="C3" s="383"/>
      <c r="D3" s="383"/>
      <c r="E3" s="383"/>
      <c r="F3" s="383"/>
      <c r="G3" s="383"/>
      <c r="H3" s="383"/>
      <c r="I3" s="383"/>
      <c r="J3" s="383"/>
      <c r="K3" s="383"/>
      <c r="L3" s="383"/>
      <c r="M3" s="383"/>
      <c r="N3" s="383"/>
      <c r="O3" s="383"/>
      <c r="P3" s="383"/>
      <c r="Q3" s="383"/>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84" t="s">
        <v>1800</v>
      </c>
      <c r="B5" s="393" t="s">
        <v>1801</v>
      </c>
      <c r="C5" s="389" t="s">
        <v>1789</v>
      </c>
      <c r="D5" s="390"/>
      <c r="E5" s="389" t="s">
        <v>1790</v>
      </c>
      <c r="F5" s="390"/>
      <c r="G5" s="389" t="s">
        <v>1791</v>
      </c>
      <c r="H5" s="390"/>
      <c r="I5" s="389" t="s">
        <v>1792</v>
      </c>
      <c r="J5" s="390"/>
      <c r="K5" s="389" t="s">
        <v>1793</v>
      </c>
      <c r="L5" s="390"/>
      <c r="M5" s="395" t="s">
        <v>2088</v>
      </c>
      <c r="N5" s="390"/>
      <c r="O5" s="389" t="s">
        <v>1788</v>
      </c>
      <c r="P5" s="390"/>
      <c r="Q5" s="391" t="s">
        <v>1802</v>
      </c>
      <c r="R5" s="51"/>
      <c r="S5" s="51"/>
    </row>
    <row r="6" spans="1:31" ht="13.8" thickBot="1" x14ac:dyDescent="0.3">
      <c r="A6" s="385"/>
      <c r="B6" s="394"/>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2"/>
      <c r="R6" s="51"/>
      <c r="S6" s="51"/>
      <c r="AA6" s="223" t="s">
        <v>1796</v>
      </c>
      <c r="AB6" s="223" t="s">
        <v>2073</v>
      </c>
      <c r="AC6" s="223" t="s">
        <v>2085</v>
      </c>
      <c r="AD6" s="223" t="s">
        <v>1818</v>
      </c>
      <c r="AE6" s="223" t="s">
        <v>1815</v>
      </c>
    </row>
    <row r="7" spans="1:31" ht="42" customHeight="1" thickBot="1" x14ac:dyDescent="0.3">
      <c r="A7" s="217">
        <v>1</v>
      </c>
      <c r="B7" s="121" t="str">
        <f>INDEX(Erfassung3!$S:$S,MATCH($A7,Erfassung3!$BO:$BO,0)-17)</f>
        <v>Mainauenbowler Bayreuth Land</v>
      </c>
      <c r="C7" s="99">
        <f>INDEX(Erfassung3!U:U,MATCH($A7,Erfassung3!$BO:$BO,0)-1)</f>
        <v>701</v>
      </c>
      <c r="D7" s="100">
        <f>INDEX(Erfassung3!V:V,MATCH($A7,Erfassung3!$BO:$BO,0))</f>
        <v>5</v>
      </c>
      <c r="E7" s="99">
        <f>INDEX(Erfassung3!W:W,MATCH($A7,Erfassung3!$BO:$BO,0)-1)</f>
        <v>668</v>
      </c>
      <c r="F7" s="100">
        <f>INDEX(Erfassung3!X:X,MATCH($A7,Erfassung3!$BO:$BO,0))</f>
        <v>5</v>
      </c>
      <c r="G7" s="99">
        <f>INDEX(Erfassung3!Y:Y,MATCH($A7,Erfassung3!$BO:$BO,0)-1)</f>
        <v>657</v>
      </c>
      <c r="H7" s="100">
        <f>INDEX(Erfassung3!Z:Z,MATCH($A7,Erfassung3!$BO:$BO,0))</f>
        <v>5</v>
      </c>
      <c r="I7" s="99">
        <f>INDEX(Erfassung3!AA:AA,MATCH($A7,Erfassung3!$BO:$BO,0)-1)</f>
        <v>622</v>
      </c>
      <c r="J7" s="100">
        <f>INDEX(Erfassung3!AB:AB,MATCH($A7,Erfassung3!$BO:$BO,0))</f>
        <v>3.5</v>
      </c>
      <c r="K7" s="99">
        <f>INDEX(Erfassung3!AC:AC,MATCH($A7,Erfassung3!$BO:$BO,0)-1)</f>
        <v>676</v>
      </c>
      <c r="L7" s="100">
        <f>INDEX(Erfassung3!AD:AD,MATCH($A7,Erfassung3!$BO:$BO,0))</f>
        <v>4</v>
      </c>
      <c r="M7" s="99">
        <f>INDEX(Erfassung3!AE:AE,MATCH($A7,Erfassung3!$BO:$BO,0)-1)</f>
        <v>575</v>
      </c>
      <c r="N7" s="100">
        <f>INDEX(Erfassung3!AF:AF,MATCH($A7,Erfassung3!$BO:$BO,0))</f>
        <v>1</v>
      </c>
      <c r="O7" s="101">
        <f t="shared" ref="O7:P8" si="0">SUM(C7+E7+G7+I7+K7+M7)</f>
        <v>3899</v>
      </c>
      <c r="P7" s="102">
        <f t="shared" si="0"/>
        <v>23.5</v>
      </c>
      <c r="Q7" s="75">
        <f>IFERROR(O7/INDEX(Erfassung3!BF:BF,MATCH(A7,Erfassung3!BO:BO,0)),0)</f>
        <v>162.45833333333334</v>
      </c>
      <c r="R7" s="122"/>
      <c r="S7" s="51"/>
      <c r="AA7" s="221" t="e">
        <f>INDEX(TabGes2!G:G,MATCH(B7,TabGes2!B:B,0))+O7</f>
        <v>#N/A</v>
      </c>
      <c r="AB7" s="221">
        <f>IFERROR(INDEX(TabGes2!H:H,MATCH(B7,TabGes2!B:B,0)),0)+IFERROR(P7,0)</f>
        <v>23.5</v>
      </c>
      <c r="AC7" s="223" t="e">
        <f>+AB7+AA7/1000000000</f>
        <v>#N/A</v>
      </c>
      <c r="AD7" s="223" t="e">
        <f>RANK(AC7,AC:AC)</f>
        <v>#N/A</v>
      </c>
      <c r="AE7" s="223" t="e">
        <f>INDEX(Tabelle2!AE:AE,MATCH(B7,Tabelle2!B:B,0))+SUMIF(Erfassung3!BR:BR,B7,Erfassung3!BF:BF)</f>
        <v>#N/A</v>
      </c>
    </row>
    <row r="8" spans="1:31" ht="42" customHeight="1" thickBot="1" x14ac:dyDescent="0.3">
      <c r="A8" s="217">
        <v>2</v>
      </c>
      <c r="B8" s="121" t="str">
        <f>INDEX(Erfassung3!$S:$S,MATCH($A8,Erfassung3!$BO:$BO,0)-17)</f>
        <v>Kleeblatt Fürth</v>
      </c>
      <c r="C8" s="99">
        <f>INDEX(Erfassung3!U:U,MATCH($A8,Erfassung3!$BO:$BO,0)-1)</f>
        <v>651</v>
      </c>
      <c r="D8" s="100">
        <f>INDEX(Erfassung3!V:V,MATCH($A8,Erfassung3!$BO:$BO,0))</f>
        <v>1</v>
      </c>
      <c r="E8" s="99">
        <f>INDEX(Erfassung3!W:W,MATCH($A8,Erfassung3!$BO:$BO,0)-1)</f>
        <v>608</v>
      </c>
      <c r="F8" s="100">
        <f>INDEX(Erfassung3!X:X,MATCH($A8,Erfassung3!$BO:$BO,0))</f>
        <v>1</v>
      </c>
      <c r="G8" s="99">
        <f>INDEX(Erfassung3!Y:Y,MATCH($A8,Erfassung3!$BO:$BO,0)-1)</f>
        <v>585</v>
      </c>
      <c r="H8" s="100">
        <f>INDEX(Erfassung3!Z:Z,MATCH($A8,Erfassung3!$BO:$BO,0))</f>
        <v>1</v>
      </c>
      <c r="I8" s="99">
        <f>INDEX(Erfassung3!AA:AA,MATCH($A8,Erfassung3!$BO:$BO,0)-1)</f>
        <v>606</v>
      </c>
      <c r="J8" s="100">
        <f>INDEX(Erfassung3!AB:AB,MATCH($A8,Erfassung3!$BO:$BO,0))</f>
        <v>2.5</v>
      </c>
      <c r="K8" s="99">
        <f>INDEX(Erfassung3!AC:AC,MATCH($A8,Erfassung3!$BO:$BO,0)-1)</f>
        <v>636</v>
      </c>
      <c r="L8" s="100">
        <f>INDEX(Erfassung3!AD:AD,MATCH($A8,Erfassung3!$BO:$BO,0))</f>
        <v>2</v>
      </c>
      <c r="M8" s="99">
        <f>INDEX(Erfassung3!AE:AE,MATCH($A8,Erfassung3!$BO:$BO,0)-1)</f>
        <v>634</v>
      </c>
      <c r="N8" s="100">
        <f>INDEX(Erfassung3!AF:AF,MATCH($A8,Erfassung3!$BO:$BO,0))</f>
        <v>5</v>
      </c>
      <c r="O8" s="101">
        <f t="shared" si="0"/>
        <v>3720</v>
      </c>
      <c r="P8" s="102">
        <f t="shared" si="0"/>
        <v>12.5</v>
      </c>
      <c r="Q8" s="75">
        <f>IFERROR(O8/INDEX(Erfassung3!BF:BF,MATCH(A8,Erfassung3!BO:BO,0)),0)</f>
        <v>155</v>
      </c>
      <c r="R8" s="122"/>
      <c r="S8" s="51"/>
      <c r="AA8" s="221" t="e">
        <f>INDEX(TabGes2!G:G,MATCH(B8,TabGes2!B:B,0))+O8</f>
        <v>#N/A</v>
      </c>
      <c r="AB8" s="221">
        <f>IFERROR(INDEX(TabGes2!H:H,MATCH(B8,TabGes2!B:B,0)),0)+IFERROR(P8,0)</f>
        <v>12.5</v>
      </c>
      <c r="AC8" s="223" t="e">
        <f>+AB8+AA8/1000000000</f>
        <v>#N/A</v>
      </c>
      <c r="AD8" s="223" t="e">
        <f>RANK(AC8,AC:AC)</f>
        <v>#N/A</v>
      </c>
      <c r="AE8" s="223">
        <f>INDEX(Tabelle2!AE:AE,MATCH(B8,Tabelle2!B:B,0))+SUMIF(Erfassung3!BR:BR,B8,Erfassung3!BF:BF)</f>
        <v>49</v>
      </c>
    </row>
    <row r="9" spans="1:31" ht="42" hidden="1" customHeight="1" thickBot="1" x14ac:dyDescent="0.3">
      <c r="A9" s="217">
        <v>3</v>
      </c>
      <c r="B9" s="121" t="str">
        <f>INDEX(Erfassung3!$S:$S,MATCH($A9,Erfassung3!$BO:$BO,0)-17)</f>
        <v>BC Phönix Lauf</v>
      </c>
      <c r="C9" s="99">
        <f>INDEX(Erfassung3!U:U,MATCH($A9,Erfassung3!$BO:$BO,0)-1)</f>
        <v>0</v>
      </c>
      <c r="D9" s="100" t="e">
        <f>INDEX(Erfassung3!V:V,MATCH($A9,Erfassung3!$BO:$BO,0))</f>
        <v>#N/A</v>
      </c>
      <c r="E9" s="99">
        <f>INDEX(Erfassung3!W:W,MATCH($A9,Erfassung3!$BO:$BO,0)-1)</f>
        <v>0</v>
      </c>
      <c r="F9" s="100" t="e">
        <f>INDEX(Erfassung3!X:X,MATCH($A9,Erfassung3!$BO:$BO,0))</f>
        <v>#N/A</v>
      </c>
      <c r="G9" s="99">
        <f>INDEX(Erfassung3!Y:Y,MATCH($A9,Erfassung3!$BO:$BO,0)-1)</f>
        <v>0</v>
      </c>
      <c r="H9" s="100" t="e">
        <f>INDEX(Erfassung3!Z:Z,MATCH($A9,Erfassung3!$BO:$BO,0))</f>
        <v>#N/A</v>
      </c>
      <c r="I9" s="99">
        <f>INDEX(Erfassung3!AA:AA,MATCH($A9,Erfassung3!$BO:$BO,0)-1)</f>
        <v>0</v>
      </c>
      <c r="J9" s="100" t="e">
        <f>INDEX(Erfassung3!AB:AB,MATCH($A9,Erfassung3!$BO:$BO,0))</f>
        <v>#N/A</v>
      </c>
      <c r="K9" s="99">
        <f>INDEX(Erfassung3!AC:AC,MATCH($A9,Erfassung3!$BO:$BO,0)-1)</f>
        <v>0</v>
      </c>
      <c r="L9" s="100" t="e">
        <f>INDEX(Erfassung3!AD:AD,MATCH($A9,Erfassung3!$BO:$BO,0))</f>
        <v>#N/A</v>
      </c>
      <c r="M9" s="99">
        <f>INDEX(Erfassung3!AE:AE,MATCH($A9,Erfassung3!$BO:$BO,0)-1)</f>
        <v>0</v>
      </c>
      <c r="N9" s="100" t="e">
        <f>INDEX(Erfassung3!AF:AF,MATCH($A9,Erfassung3!$BO:$BO,0))</f>
        <v>#N/A</v>
      </c>
      <c r="O9" s="101">
        <f t="shared" ref="O9:O10" si="1">SUM(C9+E9+G9+I9+K9+M9)</f>
        <v>0</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f>INDEX(Tabelle2!AE:AE,MATCH(B9,Tabelle2!B:B,0))+SUMIF(Erfassung3!BR:BR,B9,Erfassung3!BF:BF)</f>
        <v>24</v>
      </c>
    </row>
    <row r="10" spans="1:31" ht="18" thickBot="1" x14ac:dyDescent="0.3">
      <c r="A10" s="296">
        <v>3</v>
      </c>
      <c r="B10" s="121" t="str">
        <f>INDEX(Erfassung3!$S:$S,MATCH($A10,Erfassung3!$BO:$BO,0)-17)</f>
        <v>BC Phönix Lauf</v>
      </c>
      <c r="C10" s="99">
        <f>INDEX(Erfassung3!U:U,MATCH($A10,Erfassung3!$BO:$BO,0)-1)</f>
        <v>0</v>
      </c>
      <c r="D10" s="100" t="e">
        <f>INDEX(Erfassung3!V:V,MATCH($A10,Erfassung3!$BO:$BO,0))</f>
        <v>#N/A</v>
      </c>
      <c r="E10" s="99">
        <f>INDEX(Erfassung3!W:W,MATCH($A10,Erfassung3!$BO:$BO,0)-1)</f>
        <v>0</v>
      </c>
      <c r="F10" s="100" t="e">
        <f>INDEX(Erfassung3!X:X,MATCH($A10,Erfassung3!$BO:$BO,0))</f>
        <v>#N/A</v>
      </c>
      <c r="G10" s="99">
        <f>INDEX(Erfassung3!Y:Y,MATCH($A10,Erfassung3!$BO:$BO,0)-1)</f>
        <v>0</v>
      </c>
      <c r="H10" s="100" t="e">
        <f>INDEX(Erfassung3!Z:Z,MATCH($A10,Erfassung3!$BO:$BO,0))</f>
        <v>#N/A</v>
      </c>
      <c r="I10" s="99">
        <f>INDEX(Erfassung3!AA:AA,MATCH($A10,Erfassung3!$BO:$BO,0)-1)</f>
        <v>0</v>
      </c>
      <c r="J10" s="100" t="e">
        <f>INDEX(Erfassung3!AB:AB,MATCH($A10,Erfassung3!$BO:$BO,0))</f>
        <v>#N/A</v>
      </c>
      <c r="K10" s="99">
        <f>INDEX(Erfassung3!AC:AC,MATCH($A10,Erfassung3!$BO:$BO,0)-1)</f>
        <v>0</v>
      </c>
      <c r="L10" s="100" t="e">
        <f>INDEX(Erfassung3!AD:AD,MATCH($A10,Erfassung3!$BO:$BO,0))</f>
        <v>#N/A</v>
      </c>
      <c r="M10" s="99">
        <f>INDEX(Erfassung3!AE:AE,MATCH($A10,Erfassung3!$BO:$BO,0)-1)</f>
        <v>0</v>
      </c>
      <c r="N10" s="100" t="e">
        <f>INDEX(Erfassung3!AF:AF,MATCH($A10,Erfassung3!$BO:$BO,0))</f>
        <v>#N/A</v>
      </c>
      <c r="O10" s="101">
        <f t="shared" si="1"/>
        <v>0</v>
      </c>
      <c r="P10" s="102" t="e">
        <f t="shared" si="2"/>
        <v>#N/A</v>
      </c>
      <c r="Q10" s="75">
        <f>IFERROR(O10/INDEX(Erfassung3!BF:BF,MATCH(A10,Erfassung3!BO:BO,0)),0)</f>
        <v>0</v>
      </c>
    </row>
    <row r="12" spans="1:31" ht="15.6" x14ac:dyDescent="0.3">
      <c r="B12" s="388" t="s">
        <v>1812</v>
      </c>
      <c r="C12" s="388"/>
      <c r="D12" s="388"/>
      <c r="E12" s="388"/>
      <c r="F12" s="388"/>
      <c r="G12" s="388"/>
      <c r="H12" s="388"/>
      <c r="I12" s="388"/>
      <c r="J12" s="388"/>
      <c r="K12" s="388"/>
      <c r="L12" s="388"/>
      <c r="M12" s="388"/>
      <c r="N12" s="388"/>
      <c r="O12" s="388"/>
      <c r="P12" s="388"/>
      <c r="Q12" s="388"/>
      <c r="R12" s="106"/>
      <c r="S12" s="106"/>
      <c r="T12" s="106"/>
    </row>
    <row r="13" spans="1:31" x14ac:dyDescent="0.25">
      <c r="C13" s="386"/>
      <c r="D13" s="386"/>
      <c r="E13" s="386"/>
      <c r="F13" s="386"/>
      <c r="G13" s="386"/>
      <c r="H13" s="386"/>
    </row>
    <row r="14" spans="1:31" x14ac:dyDescent="0.25">
      <c r="B14" s="106" t="s">
        <v>1813</v>
      </c>
      <c r="C14" t="str">
        <f>IFERROR(INDEX(Erfassung3!S:S,MATCH(1,Erfassung3!BS:BS,0)),"")</f>
        <v>Weiske, Marina</v>
      </c>
      <c r="H14" t="str">
        <f>INDEX(Erfassung3!BR:BR,MATCH(C14,Erfassung3!S:S,0))</f>
        <v>Mainauenbowler Bayreuth Land</v>
      </c>
      <c r="N14" s="104">
        <f>IFERROR(ROUND(INDEX(Erfassung3!BQ:BQ,MATCH(1,Erfassung3!BS:BS,0)),0),"")</f>
        <v>234</v>
      </c>
    </row>
    <row r="15" spans="1:31" x14ac:dyDescent="0.25">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5">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5">
      <c r="B17" s="106" t="s">
        <v>1814</v>
      </c>
      <c r="C17" t="str">
        <f>IFERROR(INDEX(Erfassung3!S:S,MATCH(1,Erfassung3!BW:BW,0)),"")</f>
        <v>Weiske, Marina</v>
      </c>
      <c r="H17" t="str">
        <f>INDEX(Erfassung3!BR:BR,MATCH(C17,Erfassung3!S:S,0))</f>
        <v>Mainauenbowler Bayreuth Land</v>
      </c>
      <c r="N17" s="387" t="str">
        <f>IFERROR(ROUND(INDEX(Erfassung3!BT:BT,MATCH(1,Erfassung3!BW:BW,0)),0),"")&amp;"  /  "&amp;ROUND(IFERROR(ROUND(INDEX(Erfassung3!BT:BT,MATCH(1,Erfassung3!BW:BW,0)),0),"")/6,2)</f>
        <v>1121  /  186,83</v>
      </c>
      <c r="O17" s="387"/>
      <c r="R17" s="92"/>
    </row>
    <row r="18" spans="2:18" x14ac:dyDescent="0.25">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5">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L9"/>
  <sheetViews>
    <sheetView workbookViewId="0">
      <selection activeCell="F13" sqref="F13"/>
    </sheetView>
  </sheetViews>
  <sheetFormatPr baseColWidth="10" defaultRowHeight="13.2" x14ac:dyDescent="0.25"/>
  <cols>
    <col min="1" max="1" width="4.109375" customWidth="1"/>
    <col min="2" max="2" width="18.44140625" customWidth="1"/>
    <col min="3" max="8" width="8.5546875" customWidth="1"/>
    <col min="9" max="9" width="13.44140625" customWidth="1"/>
    <col min="10" max="10" width="9.44140625" customWidth="1"/>
    <col min="12" max="12" width="6.44140625" customWidth="1"/>
  </cols>
  <sheetData>
    <row r="1" spans="1:12" ht="28.5" customHeight="1" x14ac:dyDescent="0.25">
      <c r="A1" s="382" t="str">
        <f>Schlüssel!$C$1</f>
        <v>Landesliga Nord Frauen</v>
      </c>
      <c r="B1" s="382"/>
      <c r="C1" s="382"/>
      <c r="D1" s="382"/>
      <c r="E1" s="382"/>
      <c r="F1" s="382"/>
      <c r="G1" s="382"/>
      <c r="H1" s="382"/>
      <c r="I1" s="382"/>
      <c r="J1" s="382"/>
      <c r="K1" s="382"/>
    </row>
    <row r="2" spans="1:12" ht="28.5" customHeight="1" x14ac:dyDescent="0.25">
      <c r="A2" s="383" t="str">
        <f>"Saison "&amp;Spielorte!C18&amp;"     -     Spieltag "&amp;Erfassung3!AD2&amp;"     -     "&amp;TEXT(Erfassung3!AD1,"T. MMMM JJJJ")</f>
        <v>Saison 2024/2025     -     Spieltag 3     -     16.02.</v>
      </c>
      <c r="B2" s="383"/>
      <c r="C2" s="383"/>
      <c r="D2" s="383"/>
      <c r="E2" s="383"/>
      <c r="F2" s="383"/>
      <c r="G2" s="383"/>
      <c r="H2" s="383"/>
      <c r="I2" s="383"/>
      <c r="J2" s="383"/>
      <c r="K2" s="383"/>
    </row>
    <row r="3" spans="1:12" ht="28.5" customHeight="1" x14ac:dyDescent="0.25">
      <c r="A3" s="382" t="s">
        <v>1859</v>
      </c>
      <c r="B3" s="382"/>
      <c r="C3" s="382"/>
      <c r="D3" s="382"/>
      <c r="E3" s="382"/>
      <c r="F3" s="382"/>
      <c r="G3" s="382"/>
      <c r="H3" s="382"/>
      <c r="I3" s="382"/>
      <c r="J3" s="382"/>
      <c r="K3" s="382"/>
    </row>
    <row r="4" spans="1:12" ht="28.5" customHeight="1" thickBot="1" x14ac:dyDescent="0.3">
      <c r="A4" s="218"/>
      <c r="B4" s="218"/>
      <c r="C4" s="87"/>
      <c r="D4" s="219"/>
      <c r="E4" s="219"/>
      <c r="F4" s="219"/>
      <c r="G4" s="219"/>
      <c r="H4" s="219"/>
      <c r="I4" s="219"/>
      <c r="J4" s="88"/>
      <c r="K4" s="162"/>
    </row>
    <row r="5" spans="1:12" x14ac:dyDescent="0.25">
      <c r="A5" s="384" t="s">
        <v>1800</v>
      </c>
      <c r="B5" s="393" t="s">
        <v>1801</v>
      </c>
      <c r="C5" s="389" t="s">
        <v>1804</v>
      </c>
      <c r="D5" s="390"/>
      <c r="E5" s="389" t="s">
        <v>1805</v>
      </c>
      <c r="F5" s="390"/>
      <c r="G5" s="389" t="s">
        <v>1806</v>
      </c>
      <c r="H5" s="390"/>
      <c r="I5" s="389" t="s">
        <v>1788</v>
      </c>
      <c r="J5" s="390"/>
      <c r="K5" s="391" t="s">
        <v>1802</v>
      </c>
    </row>
    <row r="6" spans="1:12" ht="13.8" thickBot="1" x14ac:dyDescent="0.3">
      <c r="A6" s="385"/>
      <c r="B6" s="394"/>
      <c r="C6" s="73" t="s">
        <v>1796</v>
      </c>
      <c r="D6" s="74" t="s">
        <v>1797</v>
      </c>
      <c r="E6" s="73" t="s">
        <v>1796</v>
      </c>
      <c r="F6" s="74" t="s">
        <v>1797</v>
      </c>
      <c r="G6" s="73" t="s">
        <v>1796</v>
      </c>
      <c r="H6" s="74" t="s">
        <v>1797</v>
      </c>
      <c r="I6" s="73" t="s">
        <v>1796</v>
      </c>
      <c r="J6" s="74" t="s">
        <v>1797</v>
      </c>
      <c r="K6" s="392"/>
    </row>
    <row r="7" spans="1:12" ht="42" customHeight="1" thickBot="1" x14ac:dyDescent="0.3">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3">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3">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3</v>
      </c>
      <c r="D2" s="114" t="s">
        <v>1817</v>
      </c>
      <c r="E2" s="115"/>
      <c r="F2" s="116"/>
      <c r="L2" s="108">
        <f>INDEX(Starter!A:A,ROW()-1)</f>
        <v>7860</v>
      </c>
      <c r="M2" s="108">
        <f>SUMIF(Erfassung3!BD:BD,L2,Erfassung3!BE:BE)</f>
        <v>981</v>
      </c>
      <c r="N2" s="108">
        <f>SUMIF(Erfassung3!BD:BD,L2,Erfassung3!BG:BG)</f>
        <v>6</v>
      </c>
      <c r="O2" s="108">
        <f t="shared" ref="O2:O65" si="0">IF(N2=0,0,M2/N2-ROW()/1000000000)</f>
        <v>163.49999999799999</v>
      </c>
      <c r="P2" s="108">
        <f t="shared" ref="P2:P65" si="1">RANK(O2,O:O)</f>
        <v>3</v>
      </c>
    </row>
    <row r="3" spans="1:16" x14ac:dyDescent="0.25">
      <c r="L3" s="108">
        <f>INDEX(Starter!A:A,ROW()-1)</f>
        <v>38735</v>
      </c>
      <c r="M3" s="108">
        <f>SUMIF(Erfassung3!BD:BD,L3,Erfassung3!BE:BE)</f>
        <v>0</v>
      </c>
      <c r="N3" s="108">
        <f>SUMIF(Erfassung3!BD:BD,L3,Erfassung3!BG:BG)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SUMIF(Erfassung3!BD:BD,L4,Erfassung3!BE:BE)</f>
        <v>829</v>
      </c>
      <c r="N4" s="108">
        <f>SUMIF(Erfassung3!BD:BD,L4,Erfassung3!BG:BG)</f>
        <v>6</v>
      </c>
      <c r="O4" s="108">
        <f t="shared" si="0"/>
        <v>138.16666666266667</v>
      </c>
      <c r="P4" s="108">
        <f t="shared" si="1"/>
        <v>9</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1121</v>
      </c>
      <c r="F5" s="108">
        <f t="shared" ref="F5:F68" si="4">IFERROR(INDEX(N:N,MATCH(A5,P:P,0)),"")</f>
        <v>6</v>
      </c>
      <c r="G5" s="112">
        <f t="shared" ref="G5:G68" si="5">IFERROR(INDEX(O:O,MATCH(A5,P:P,0)),"")</f>
        <v>186.83333332733335</v>
      </c>
      <c r="L5" s="108">
        <f>INDEX(Starter!A:A,ROW()-1)</f>
        <v>25478</v>
      </c>
      <c r="M5" s="108">
        <f>SUMIF(Erfassung3!BD:BD,L5,Erfassung3!BE:BE)</f>
        <v>968</v>
      </c>
      <c r="N5" s="108">
        <f>SUMIF(Erfassung3!BD:BD,L5,Erfassung3!BG:BG)</f>
        <v>6</v>
      </c>
      <c r="O5" s="108">
        <f t="shared" si="0"/>
        <v>161.33333332833334</v>
      </c>
      <c r="P5" s="108">
        <f t="shared" si="1"/>
        <v>4</v>
      </c>
    </row>
    <row r="6" spans="1:16" x14ac:dyDescent="0.25">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992</v>
      </c>
      <c r="F6" s="108">
        <f t="shared" si="4"/>
        <v>6</v>
      </c>
      <c r="G6" s="112">
        <f t="shared" si="5"/>
        <v>165.33333332433335</v>
      </c>
      <c r="L6" s="108">
        <f>INDEX(Starter!A:A,ROW()-1)</f>
        <v>7154</v>
      </c>
      <c r="M6" s="108">
        <f>SUMIF(Erfassung3!BD:BD,L6,Erfassung3!BE:BE)</f>
        <v>1121</v>
      </c>
      <c r="N6" s="108">
        <f>SUMIF(Erfassung3!BD:BD,L6,Erfassung3!BG:BG)</f>
        <v>6</v>
      </c>
      <c r="O6" s="108">
        <f t="shared" si="0"/>
        <v>186.83333332733335</v>
      </c>
      <c r="P6" s="108">
        <f t="shared" si="1"/>
        <v>1</v>
      </c>
    </row>
    <row r="7" spans="1:16" x14ac:dyDescent="0.25">
      <c r="A7" s="108">
        <f t="shared" si="6"/>
        <v>3</v>
      </c>
      <c r="B7" s="108">
        <f t="shared" si="2"/>
        <v>7860</v>
      </c>
      <c r="C7" s="108" t="str">
        <f>IFERROR(INDEX(Starter!B:B,MATCH(B7,Starter!A:A,0)),"")</f>
        <v>Bräutigam, Marion</v>
      </c>
      <c r="D7" s="108" t="str">
        <f>IFERROR(INDEX(Starter!C:C,MATCH(B7,Starter!A:A,0)),"")</f>
        <v>BC Mainauen-Bowler Bayreuth</v>
      </c>
      <c r="E7" s="117">
        <f t="shared" si="3"/>
        <v>981</v>
      </c>
      <c r="F7" s="108">
        <f t="shared" si="4"/>
        <v>6</v>
      </c>
      <c r="G7" s="112">
        <f t="shared" si="5"/>
        <v>163.49999999799999</v>
      </c>
      <c r="L7" s="108">
        <f>INDEX(Starter!A:A,ROW()-1)</f>
        <v>7956</v>
      </c>
      <c r="M7" s="108">
        <f>SUMIF(Erfassung3!BD:BD,L7,Erfassung3!BE:BE)</f>
        <v>423</v>
      </c>
      <c r="N7" s="108">
        <f>SUMIF(Erfassung3!BD:BD,L7,Erfassung3!BG:BG)</f>
        <v>3</v>
      </c>
      <c r="O7" s="108">
        <f t="shared" si="0"/>
        <v>140.99999999299999</v>
      </c>
      <c r="P7" s="108">
        <f t="shared" si="1"/>
        <v>8</v>
      </c>
    </row>
    <row r="8" spans="1:16" x14ac:dyDescent="0.25">
      <c r="A8" s="108">
        <f t="shared" si="6"/>
        <v>4</v>
      </c>
      <c r="B8" s="108">
        <f t="shared" si="2"/>
        <v>25478</v>
      </c>
      <c r="C8" s="108" t="str">
        <f>IFERROR(INDEX(Starter!B:B,MATCH(B8,Starter!A:A,0)),"")</f>
        <v>Theisen, Ulrike</v>
      </c>
      <c r="D8" s="108" t="str">
        <f>IFERROR(INDEX(Starter!C:C,MATCH(B8,Starter!A:A,0)),"")</f>
        <v>BC Mainauen-Bowler Bayreuth</v>
      </c>
      <c r="E8" s="117">
        <f t="shared" si="3"/>
        <v>968</v>
      </c>
      <c r="F8" s="108">
        <f t="shared" si="4"/>
        <v>6</v>
      </c>
      <c r="G8" s="112">
        <f t="shared" si="5"/>
        <v>161.33333332833334</v>
      </c>
      <c r="L8" s="108">
        <f>INDEX(Starter!A:A,ROW()-1)</f>
        <v>38697</v>
      </c>
      <c r="M8" s="108">
        <f>SUMIF(Erfassung3!BD:BD,L8,Erfassung3!BE:BE)</f>
        <v>893</v>
      </c>
      <c r="N8" s="108">
        <f>SUMIF(Erfassung3!BD:BD,L8,Erfassung3!BG:BG)</f>
        <v>6</v>
      </c>
      <c r="O8" s="108">
        <f t="shared" si="0"/>
        <v>148.83333332533334</v>
      </c>
      <c r="P8" s="108">
        <f t="shared" si="1"/>
        <v>7</v>
      </c>
    </row>
    <row r="9" spans="1:16" x14ac:dyDescent="0.25">
      <c r="A9" s="108">
        <f t="shared" si="6"/>
        <v>5</v>
      </c>
      <c r="B9" s="108">
        <f t="shared" si="2"/>
        <v>7952</v>
      </c>
      <c r="C9" s="108" t="str">
        <f>IFERROR(INDEX(Starter!B:B,MATCH(B9,Starter!A:A,0)),"")</f>
        <v>Hofmann, Hildegard</v>
      </c>
      <c r="D9" s="108" t="str">
        <f>IFERROR(INDEX(Starter!C:C,MATCH(B9,Starter!A:A,0)),"")</f>
        <v>BC Kleeblatt Fürth</v>
      </c>
      <c r="E9" s="117">
        <f t="shared" si="3"/>
        <v>483</v>
      </c>
      <c r="F9" s="108">
        <f t="shared" si="4"/>
        <v>3</v>
      </c>
      <c r="G9" s="112">
        <f t="shared" si="5"/>
        <v>160.99999998999999</v>
      </c>
      <c r="L9" s="108">
        <f>INDEX(Starter!A:A,ROW()-1)</f>
        <v>38512</v>
      </c>
      <c r="M9" s="108">
        <f>SUMIF(Erfassung3!BD:BD,L9,Erfassung3!BE:BE)</f>
        <v>992</v>
      </c>
      <c r="N9" s="108">
        <f>SUMIF(Erfassung3!BD:BD,L9,Erfassung3!BG:BG)</f>
        <v>6</v>
      </c>
      <c r="O9" s="108">
        <f t="shared" si="0"/>
        <v>165.33333332433335</v>
      </c>
      <c r="P9" s="108">
        <f t="shared" si="1"/>
        <v>2</v>
      </c>
    </row>
    <row r="10" spans="1:16" x14ac:dyDescent="0.25">
      <c r="A10" s="108">
        <f t="shared" si="6"/>
        <v>6</v>
      </c>
      <c r="B10" s="108">
        <f t="shared" si="2"/>
        <v>38825</v>
      </c>
      <c r="C10" s="108" t="str">
        <f>IFERROR(INDEX(Starter!B:B,MATCH(B10,Starter!A:A,0)),"")</f>
        <v>Röde, Sigrid</v>
      </c>
      <c r="D10" s="108" t="str">
        <f>IFERROR(INDEX(Starter!C:C,MATCH(B10,Starter!A:A,0)),"")</f>
        <v>BC Kleeblatt Fürth</v>
      </c>
      <c r="E10" s="117">
        <f t="shared" si="3"/>
        <v>929</v>
      </c>
      <c r="F10" s="108">
        <f t="shared" si="4"/>
        <v>6</v>
      </c>
      <c r="G10" s="112">
        <f t="shared" si="5"/>
        <v>154.83333332233335</v>
      </c>
      <c r="L10" s="108">
        <f>INDEX(Starter!A:A,ROW()-1)</f>
        <v>7952</v>
      </c>
      <c r="M10" s="108">
        <f>SUMIF(Erfassung3!BD:BD,L10,Erfassung3!BE:BE)</f>
        <v>483</v>
      </c>
      <c r="N10" s="108">
        <f>SUMIF(Erfassung3!BD:BD,L10,Erfassung3!BG:BG)</f>
        <v>3</v>
      </c>
      <c r="O10" s="108">
        <f t="shared" si="0"/>
        <v>160.99999998999999</v>
      </c>
      <c r="P10" s="108">
        <f t="shared" si="1"/>
        <v>5</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893</v>
      </c>
      <c r="F11" s="108">
        <f t="shared" si="4"/>
        <v>6</v>
      </c>
      <c r="G11" s="112">
        <f t="shared" si="5"/>
        <v>148.83333332533334</v>
      </c>
      <c r="L11" s="108">
        <f>INDEX(Starter!A:A,ROW()-1)</f>
        <v>38825</v>
      </c>
      <c r="M11" s="108">
        <f>SUMIF(Erfassung3!BD:BD,L11,Erfassung3!BE:BE)</f>
        <v>929</v>
      </c>
      <c r="N11" s="108">
        <f>SUMIF(Erfassung3!BD:BD,L11,Erfassung3!BG:BG)</f>
        <v>6</v>
      </c>
      <c r="O11" s="108">
        <f t="shared" si="0"/>
        <v>154.83333332233335</v>
      </c>
      <c r="P11" s="108">
        <f t="shared" si="1"/>
        <v>6</v>
      </c>
    </row>
    <row r="12" spans="1:16" x14ac:dyDescent="0.25">
      <c r="A12" s="108">
        <f t="shared" si="6"/>
        <v>8</v>
      </c>
      <c r="B12" s="108">
        <f t="shared" si="2"/>
        <v>7956</v>
      </c>
      <c r="C12" s="108" t="str">
        <f>IFERROR(INDEX(Starter!B:B,MATCH(B12,Starter!A:A,0)),"")</f>
        <v>Herderich, Christine</v>
      </c>
      <c r="D12" s="108" t="str">
        <f>IFERROR(INDEX(Starter!C:C,MATCH(B12,Starter!A:A,0)),"")</f>
        <v>BC Kleeblatt Fürth</v>
      </c>
      <c r="E12" s="117">
        <f t="shared" si="3"/>
        <v>423</v>
      </c>
      <c r="F12" s="108">
        <f t="shared" si="4"/>
        <v>3</v>
      </c>
      <c r="G12" s="112">
        <f t="shared" si="5"/>
        <v>140.99999999299999</v>
      </c>
      <c r="L12" s="108">
        <f>INDEX(Starter!A:A,ROW()-1)</f>
        <v>38790</v>
      </c>
      <c r="M12" s="108">
        <f>SUMIF(Erfassung3!BD:BD,L12,Erfassung3!BE:BE)</f>
        <v>0</v>
      </c>
      <c r="N12" s="108">
        <f>SUMIF(Erfassung3!BD:BD,L12,Erfassung3!BG:BG)</f>
        <v>0</v>
      </c>
      <c r="O12" s="108">
        <f t="shared" si="0"/>
        <v>0</v>
      </c>
      <c r="P12" s="108">
        <f t="shared" si="1"/>
        <v>10</v>
      </c>
    </row>
    <row r="13" spans="1:16" x14ac:dyDescent="0.25">
      <c r="A13" s="108">
        <f t="shared" si="6"/>
        <v>9</v>
      </c>
      <c r="B13" s="108">
        <f t="shared" si="2"/>
        <v>7156</v>
      </c>
      <c r="C13" s="108" t="str">
        <f>IFERROR(INDEX(Starter!B:B,MATCH(B13,Starter!A:A,0)),"")</f>
        <v>Söldner, Elke</v>
      </c>
      <c r="D13" s="108" t="str">
        <f>IFERROR(INDEX(Starter!C:C,MATCH(B13,Starter!A:A,0)),"")</f>
        <v>BC Mainauen-Bowler Bayreuth</v>
      </c>
      <c r="E13" s="117">
        <f t="shared" si="3"/>
        <v>829</v>
      </c>
      <c r="F13" s="108">
        <f t="shared" si="4"/>
        <v>6</v>
      </c>
      <c r="G13" s="112">
        <f t="shared" si="5"/>
        <v>138.16666666266667</v>
      </c>
      <c r="L13" s="108">
        <f>INDEX(Starter!A:A,ROW()-1)</f>
        <v>7709</v>
      </c>
      <c r="M13" s="108">
        <f>SUMIF(Erfassung3!BD:BD,L13,Erfassung3!BE:BE)</f>
        <v>0</v>
      </c>
      <c r="N13" s="108">
        <f>SUMIF(Erfassung3!BD:BD,L13,Erfassung3!BG:BG)</f>
        <v>0</v>
      </c>
      <c r="O13" s="108">
        <f t="shared" si="0"/>
        <v>0</v>
      </c>
      <c r="P13" s="108">
        <f t="shared" si="1"/>
        <v>10</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10</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10</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10</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10</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SUMIF(Erfassung3!BD:BD,L19,Erfassung3!BE:BE)</f>
        <v>0</v>
      </c>
      <c r="N19" s="108">
        <f>SUMIF(Erfassung3!BD:BD,L19,Erfassung3!BG:BG)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3</v>
      </c>
      <c r="D2" s="28" t="s">
        <v>1860</v>
      </c>
      <c r="E2" s="170"/>
      <c r="F2" s="171"/>
      <c r="L2" s="108">
        <f>INDEX(Starter!A:A,ROW()-1)</f>
        <v>7860</v>
      </c>
      <c r="M2">
        <f>INDEX(SchnittGes2!M:M,MATCH(L2,SchnittGes2!L:L,0))+INDEX(Schnitt3!M:M,MATCH(L2,Schnitt3!L:L,0))</f>
        <v>981</v>
      </c>
      <c r="N2">
        <f>INDEX(SchnittGes2!N:N,MATCH(L2,SchnittGes2!L:L,0))+INDEX(Schnitt3!N:N,MATCH(L2,Schnitt3!L:L,0))</f>
        <v>6</v>
      </c>
      <c r="O2">
        <f t="shared" ref="O2:O65" si="0">IF(N2=0,0,M2/N2-ROW()/1000000000)</f>
        <v>163.49999999799999</v>
      </c>
      <c r="P2">
        <f t="shared" ref="P2:P65" si="1">RANK(O2,O:O)</f>
        <v>5</v>
      </c>
    </row>
    <row r="3" spans="1:16" x14ac:dyDescent="0.25">
      <c r="L3" s="108">
        <f>INDEX(Starter!A:A,ROW()-1)</f>
        <v>38735</v>
      </c>
      <c r="M3">
        <f>INDEX(SchnittGes2!M:M,MATCH(L3,SchnittGes2!L:L,0))+INDEX(Schnitt3!M:M,MATCH(L3,Schnitt3!L:L,0))</f>
        <v>0</v>
      </c>
      <c r="N3">
        <f>INDEX(SchnittGes2!N:N,MATCH(L3,SchnittGes2!L:L,0))+INDEX(Schnitt3!N:N,MATCH(L3,Schnitt3!L:L,0))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INDEX(SchnittGes2!M:M,MATCH(L4,SchnittGes2!L:L,0))+INDEX(Schnitt3!M:M,MATCH(L4,Schnitt3!L:L,0))</f>
        <v>829</v>
      </c>
      <c r="N4">
        <f>INDEX(SchnittGes2!N:N,MATCH(L4,SchnittGes2!L:L,0))+INDEX(Schnitt3!N:N,MATCH(L4,Schnitt3!L:L,0))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968</v>
      </c>
      <c r="N5">
        <f>INDEX(SchnittGes2!N:N,MATCH(L5,SchnittGes2!L:L,0))+INDEX(Schnitt3!N:N,MATCH(L5,Schnitt3!L:L,0))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INDEX(SchnittGes2!M:M,MATCH(L6,SchnittGes2!L:L,0))+INDEX(Schnitt3!M:M,MATCH(L6,Schnitt3!L:L,0))</f>
        <v>1121</v>
      </c>
      <c r="N6">
        <f>INDEX(SchnittGes2!N:N,MATCH(L6,SchnittGes2!L:L,0))+INDEX(Schnitt3!N:N,MATCH(L6,Schnitt3!L:L,0))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INDEX(SchnittGes2!M:M,MATCH(L7,SchnittGes2!L:L,0))+INDEX(Schnitt3!M:M,MATCH(L7,Schnitt3!L:L,0))</f>
        <v>1271</v>
      </c>
      <c r="N7">
        <f>INDEX(SchnittGes2!N:N,MATCH(L7,SchnittGes2!L:L,0))+INDEX(Schnitt3!N:N,MATCH(L7,Schnitt3!L:L,0))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INDEX(SchnittGes2!M:M,MATCH(L8,SchnittGes2!L:L,0))+INDEX(Schnitt3!M:M,MATCH(L8,Schnitt3!L:L,0))</f>
        <v>1765</v>
      </c>
      <c r="N8">
        <f>INDEX(SchnittGes2!N:N,MATCH(L8,SchnittGes2!L:L,0))+INDEX(Schnitt3!N:N,MATCH(L8,Schnitt3!L:L,0))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INDEX(SchnittGes2!M:M,MATCH(L9,SchnittGes2!L:L,0))+INDEX(Schnitt3!M:M,MATCH(L9,Schnitt3!L:L,0))</f>
        <v>1968</v>
      </c>
      <c r="N9">
        <f>INDEX(SchnittGes2!N:N,MATCH(L9,SchnittGes2!L:L,0))+INDEX(Schnitt3!N:N,MATCH(L9,Schnitt3!L:L,0))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INDEX(SchnittGes2!M:M,MATCH(L10,SchnittGes2!L:L,0))+INDEX(Schnitt3!M:M,MATCH(L10,Schnitt3!L:L,0))</f>
        <v>483</v>
      </c>
      <c r="N10">
        <f>INDEX(SchnittGes2!N:N,MATCH(L10,SchnittGes2!L:L,0))+INDEX(Schnitt3!N:N,MATCH(L10,Schnitt3!L:L,0))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INDEX(SchnittGes2!M:M,MATCH(L11,SchnittGes2!L:L,0))+INDEX(Schnitt3!M:M,MATCH(L11,Schnitt3!L:L,0))</f>
        <v>1886</v>
      </c>
      <c r="N11">
        <f>INDEX(SchnittGes2!N:N,MATCH(L11,SchnittGes2!L:L,0))+INDEX(Schnitt3!N:N,MATCH(L11,Schnitt3!L:L,0))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INDEX(SchnittGes2!M:M,MATCH(L12,SchnittGes2!L:L,0))+INDEX(Schnitt3!M:M,MATCH(L12,Schnitt3!L:L,0))</f>
        <v>0</v>
      </c>
      <c r="N12">
        <f>INDEX(SchnittGes2!N:N,MATCH(L12,SchnittGes2!L:L,0))+INDEX(Schnitt3!N:N,MATCH(L12,Schnitt3!L:L,0))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INDEX(SchnittGes2!M:M,MATCH(L18,SchnittGes2!L:L,0))+INDEX(Schnitt3!M:M,MATCH(L18,Schnitt3!L:L,0))</f>
        <v>0</v>
      </c>
      <c r="N18">
        <f>INDEX(SchnittGes2!N:N,MATCH(L18,SchnittGes2!L:L,0))+INDEX(Schnitt3!N:N,MATCH(L18,Schnitt3!L:L,0))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INDEX(SchnittGes2!M:M,MATCH(L19,SchnittGes2!L:L,0))+INDEX(Schnitt3!M:M,MATCH(L19,Schnitt3!L:L,0))</f>
        <v>222</v>
      </c>
      <c r="N19">
        <f>INDEX(SchnittGes2!N:N,MATCH(L19,SchnittGes2!L:L,0))+INDEX(Schnitt3!N:N,MATCH(L19,Schnitt3!L:L,0))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autoPageBreaks="0"/>
  </sheetPr>
  <dimension ref="A1:V86"/>
  <sheetViews>
    <sheetView showGridLines="0" topLeftCell="A64" zoomScaleNormal="100" workbookViewId="0">
      <selection activeCell="C79" sqref="C79:T7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7" t="s">
        <v>1820</v>
      </c>
      <c r="C2" s="337"/>
      <c r="D2" s="337"/>
      <c r="E2" s="337"/>
      <c r="F2" s="337"/>
      <c r="G2" s="337"/>
      <c r="H2" s="337"/>
      <c r="I2" s="337"/>
      <c r="J2" s="337"/>
      <c r="K2" s="337"/>
      <c r="L2" s="337"/>
      <c r="M2" s="337"/>
      <c r="N2" s="337"/>
      <c r="O2" s="337"/>
      <c r="P2" s="337"/>
      <c r="Q2" s="337"/>
      <c r="R2" s="337"/>
      <c r="S2" s="337"/>
      <c r="T2" s="337"/>
      <c r="U2" s="337"/>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8"/>
      <c r="R4" s="338"/>
      <c r="S4" s="338"/>
      <c r="T4" s="338"/>
      <c r="U4" s="338"/>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9">
        <f>+Spielzettel4!M2</f>
        <v>4</v>
      </c>
      <c r="F6" s="340"/>
      <c r="P6" s="128" t="s">
        <v>1821</v>
      </c>
      <c r="Q6" s="341" t="str">
        <f>+Spielzettel4!L1</f>
        <v>16.03.</v>
      </c>
      <c r="R6" s="342">
        <v>0</v>
      </c>
      <c r="S6" s="342">
        <v>0</v>
      </c>
      <c r="T6" s="343">
        <v>0</v>
      </c>
      <c r="U6" s="61"/>
    </row>
    <row r="7" spans="2:21" x14ac:dyDescent="0.25">
      <c r="B7" s="60"/>
      <c r="C7" s="128"/>
      <c r="D7" s="128"/>
      <c r="U7" s="61"/>
    </row>
    <row r="8" spans="2:21" x14ac:dyDescent="0.25">
      <c r="B8" s="60"/>
      <c r="C8" s="128" t="s">
        <v>1822</v>
      </c>
      <c r="D8" s="128"/>
      <c r="E8" s="344" t="str">
        <f>+Spielzettel4!D2</f>
        <v>Nürnberg West Bowling</v>
      </c>
      <c r="F8" s="345"/>
      <c r="G8" s="345"/>
      <c r="H8" s="345">
        <v>0</v>
      </c>
      <c r="I8" s="345"/>
      <c r="J8" s="346"/>
      <c r="N8" s="128" t="s">
        <v>1823</v>
      </c>
      <c r="P8" s="344" t="str">
        <f>+Spielzettel4!D1</f>
        <v>Landesliga Nord Frauen</v>
      </c>
      <c r="Q8" s="345"/>
      <c r="R8" s="345"/>
      <c r="S8" s="345"/>
      <c r="T8" s="346"/>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1" t="s">
        <v>1824</v>
      </c>
      <c r="D11" s="331"/>
      <c r="E11" s="331"/>
      <c r="F11" s="331"/>
      <c r="G11" s="331"/>
      <c r="H11" s="331"/>
      <c r="I11" s="331"/>
      <c r="J11" s="331"/>
      <c r="K11" s="331"/>
      <c r="L11" s="331"/>
      <c r="M11" s="331"/>
      <c r="N11" s="331"/>
      <c r="O11" s="331"/>
      <c r="P11" s="331"/>
      <c r="Q11" s="331"/>
      <c r="R11" s="331"/>
      <c r="S11" s="331"/>
      <c r="T11" s="331"/>
      <c r="U11" s="131"/>
    </row>
    <row r="12" spans="2:21" ht="21.75" customHeight="1" x14ac:dyDescent="0.25">
      <c r="B12" s="132"/>
      <c r="C12" s="332" t="s">
        <v>1825</v>
      </c>
      <c r="D12" s="332"/>
      <c r="E12" s="332"/>
      <c r="F12" s="332"/>
      <c r="G12" s="332"/>
      <c r="H12" s="332"/>
      <c r="I12" s="332"/>
      <c r="J12" s="332"/>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2533</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2533</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5"/>
      <c r="D19" s="326"/>
      <c r="E19" s="333"/>
      <c r="F19" s="333"/>
      <c r="G19" s="333"/>
      <c r="H19" s="333"/>
      <c r="I19" s="333"/>
      <c r="J19" s="333"/>
      <c r="K19" s="333"/>
      <c r="L19" s="333"/>
      <c r="M19" s="333"/>
      <c r="N19" s="333"/>
      <c r="O19" s="333"/>
      <c r="P19" s="333"/>
      <c r="Q19" s="333"/>
      <c r="R19" s="333"/>
      <c r="S19" s="333"/>
      <c r="T19" s="334"/>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2533</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5" t="s">
        <v>2410</v>
      </c>
      <c r="D24" s="326"/>
      <c r="E24" s="326"/>
      <c r="F24" s="326"/>
      <c r="G24" s="326"/>
      <c r="H24" s="326"/>
      <c r="I24" s="326"/>
      <c r="J24" s="326"/>
      <c r="K24" s="326"/>
      <c r="L24" s="326"/>
      <c r="M24" s="326"/>
      <c r="N24" s="326"/>
      <c r="O24" s="326"/>
      <c r="P24" s="326"/>
      <c r="Q24" s="326"/>
      <c r="R24" s="326"/>
      <c r="S24" s="326"/>
      <c r="T24" s="327"/>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5"/>
      <c r="D29" s="326"/>
      <c r="E29" s="326"/>
      <c r="F29" s="326"/>
      <c r="G29" s="326"/>
      <c r="H29" s="326"/>
      <c r="I29" s="326"/>
      <c r="J29" s="326"/>
      <c r="K29" s="326"/>
      <c r="L29" s="326"/>
      <c r="M29" s="326"/>
      <c r="N29" s="326"/>
      <c r="O29" s="326"/>
      <c r="P29" s="326"/>
      <c r="Q29" s="326"/>
      <c r="R29" s="326"/>
      <c r="S29" s="326"/>
      <c r="T29" s="327"/>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0.49652777777777779</v>
      </c>
      <c r="I31" s="145"/>
      <c r="J31" s="147" t="s">
        <v>1837</v>
      </c>
      <c r="K31" s="147"/>
      <c r="L31" s="146">
        <v>0.52777777777777779</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2533</v>
      </c>
      <c r="L34" t="s">
        <v>1829</v>
      </c>
      <c r="U34" s="61"/>
    </row>
    <row r="35" spans="2:21" ht="17.25" customHeight="1" x14ac:dyDescent="0.25">
      <c r="B35" s="60"/>
      <c r="C35" s="136" t="s">
        <v>1839</v>
      </c>
      <c r="D35" s="136"/>
      <c r="F35" s="335"/>
      <c r="G35" s="335"/>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5"/>
      <c r="D37" s="326"/>
      <c r="E37" s="326"/>
      <c r="F37" s="326"/>
      <c r="G37" s="326"/>
      <c r="H37" s="326"/>
      <c r="I37" s="326"/>
      <c r="J37" s="326"/>
      <c r="K37" s="326"/>
      <c r="L37" s="326"/>
      <c r="M37" s="326"/>
      <c r="N37" s="326"/>
      <c r="O37" s="326"/>
      <c r="P37" s="326"/>
      <c r="Q37" s="326"/>
      <c r="R37" s="326"/>
      <c r="S37" s="326"/>
      <c r="T37" s="327"/>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2533</v>
      </c>
      <c r="H40" t="s">
        <v>1842</v>
      </c>
      <c r="J40" s="137"/>
      <c r="L40" s="151" t="s">
        <v>1843</v>
      </c>
      <c r="N40" s="137"/>
      <c r="P40" t="s">
        <v>1844</v>
      </c>
      <c r="U40" s="61"/>
    </row>
    <row r="41" spans="2:21" ht="16.5" customHeight="1" x14ac:dyDescent="0.25">
      <c r="B41" s="60"/>
      <c r="C41" s="152" t="s">
        <v>1845</v>
      </c>
      <c r="D41" s="152"/>
      <c r="F41" s="336"/>
      <c r="G41" s="336"/>
      <c r="H41" s="336"/>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5"/>
      <c r="D45" s="326"/>
      <c r="E45" s="326"/>
      <c r="F45" s="326"/>
      <c r="G45" s="326"/>
      <c r="H45" s="326"/>
      <c r="I45" s="326"/>
      <c r="J45" s="326"/>
      <c r="K45" s="326"/>
      <c r="L45" s="326"/>
      <c r="M45" s="326"/>
      <c r="N45" s="326"/>
      <c r="O45" s="326"/>
      <c r="P45" s="326"/>
      <c r="Q45" s="326"/>
      <c r="R45" s="326"/>
      <c r="S45" s="326"/>
      <c r="T45" s="327"/>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1" t="s">
        <v>1847</v>
      </c>
      <c r="D48" s="331"/>
      <c r="E48" s="331"/>
      <c r="F48" s="331"/>
      <c r="G48" s="331"/>
      <c r="H48" s="331"/>
      <c r="I48" s="331"/>
      <c r="J48" s="331"/>
      <c r="K48" s="331"/>
      <c r="L48" s="331"/>
      <c r="M48" s="331"/>
      <c r="N48" s="331"/>
      <c r="O48" s="331"/>
      <c r="P48" s="331"/>
      <c r="Q48" s="331"/>
      <c r="R48" s="331"/>
      <c r="S48" s="331"/>
      <c r="T48" s="331"/>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5"/>
      <c r="D52" s="326"/>
      <c r="E52" s="326"/>
      <c r="F52" s="326"/>
      <c r="G52" s="326"/>
      <c r="H52" s="326"/>
      <c r="I52" s="326"/>
      <c r="J52" s="326"/>
      <c r="K52" s="326"/>
      <c r="L52" s="326"/>
      <c r="M52" s="326"/>
      <c r="N52" s="326"/>
      <c r="O52" s="326"/>
      <c r="P52" s="326"/>
      <c r="Q52" s="326"/>
      <c r="R52" s="326"/>
      <c r="S52" s="326"/>
      <c r="T52" s="327"/>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5"/>
      <c r="D56" s="326"/>
      <c r="E56" s="326"/>
      <c r="F56" s="326"/>
      <c r="G56" s="326"/>
      <c r="H56" s="326"/>
      <c r="I56" s="326"/>
      <c r="J56" s="326"/>
      <c r="K56" s="326"/>
      <c r="L56" s="326"/>
      <c r="M56" s="326"/>
      <c r="N56" s="326"/>
      <c r="O56" s="326"/>
      <c r="P56" s="326"/>
      <c r="Q56" s="326"/>
      <c r="R56" s="326"/>
      <c r="S56" s="326"/>
      <c r="T56" s="327"/>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5"/>
      <c r="D60" s="326"/>
      <c r="E60" s="326"/>
      <c r="F60" s="326"/>
      <c r="G60" s="326"/>
      <c r="H60" s="326"/>
      <c r="I60" s="326"/>
      <c r="J60" s="326"/>
      <c r="K60" s="326"/>
      <c r="L60" s="326"/>
      <c r="M60" s="326"/>
      <c r="N60" s="326"/>
      <c r="O60" s="326"/>
      <c r="P60" s="326"/>
      <c r="Q60" s="326"/>
      <c r="R60" s="326"/>
      <c r="S60" s="326"/>
      <c r="T60" s="327"/>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5"/>
      <c r="D64" s="326"/>
      <c r="E64" s="326"/>
      <c r="F64" s="326"/>
      <c r="G64" s="326"/>
      <c r="H64" s="326"/>
      <c r="I64" s="326"/>
      <c r="J64" s="326"/>
      <c r="K64" s="326"/>
      <c r="L64" s="326"/>
      <c r="M64" s="326"/>
      <c r="N64" s="326"/>
      <c r="O64" s="326"/>
      <c r="P64" s="326"/>
      <c r="Q64" s="326"/>
      <c r="R64" s="326"/>
      <c r="S64" s="326"/>
      <c r="T64" s="327"/>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5"/>
      <c r="D68" s="326"/>
      <c r="E68" s="326"/>
      <c r="F68" s="326"/>
      <c r="G68" s="326"/>
      <c r="H68" s="326"/>
      <c r="I68" s="326"/>
      <c r="J68" s="326"/>
      <c r="K68" s="326"/>
      <c r="L68" s="326"/>
      <c r="M68" s="326"/>
      <c r="N68" s="326"/>
      <c r="O68" s="326"/>
      <c r="P68" s="326"/>
      <c r="Q68" s="326"/>
      <c r="R68" s="326"/>
      <c r="S68" s="326"/>
      <c r="T68" s="327"/>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5"/>
      <c r="D72" s="326"/>
      <c r="E72" s="326"/>
      <c r="F72" s="326"/>
      <c r="G72" s="326"/>
      <c r="H72" s="326"/>
      <c r="I72" s="326"/>
      <c r="J72" s="326"/>
      <c r="K72" s="326"/>
      <c r="L72" s="326"/>
      <c r="M72" s="326"/>
      <c r="N72" s="326"/>
      <c r="O72" s="326"/>
      <c r="P72" s="326"/>
      <c r="Q72" s="326"/>
      <c r="R72" s="326"/>
      <c r="S72" s="326"/>
      <c r="T72" s="327"/>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8" t="s">
        <v>2536</v>
      </c>
      <c r="D79" s="329"/>
      <c r="E79" s="329"/>
      <c r="F79" s="329"/>
      <c r="G79" s="329"/>
      <c r="H79" s="329"/>
      <c r="I79" s="329"/>
      <c r="J79" s="329"/>
      <c r="K79" s="329"/>
      <c r="L79" s="329"/>
      <c r="M79" s="329"/>
      <c r="N79" s="329"/>
      <c r="O79" s="329"/>
      <c r="P79" s="329"/>
      <c r="Q79" s="329"/>
      <c r="R79" s="329"/>
      <c r="S79" s="329"/>
      <c r="T79" s="330"/>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t="s">
        <v>2535</v>
      </c>
      <c r="E82" s="324"/>
      <c r="F82" s="324"/>
      <c r="G82" s="324"/>
      <c r="H82" s="324"/>
      <c r="I82" s="324"/>
      <c r="J82" s="324"/>
      <c r="K82" s="324"/>
      <c r="L82" s="324"/>
      <c r="M82" s="324"/>
      <c r="P82" s="324"/>
      <c r="Q82" s="324"/>
      <c r="R82" s="324"/>
      <c r="S82" s="324"/>
      <c r="T82" s="324"/>
      <c r="U82" s="324"/>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t="s">
        <v>2534</v>
      </c>
      <c r="E85" s="324"/>
      <c r="F85" s="324"/>
      <c r="G85" s="324"/>
      <c r="H85" s="324"/>
      <c r="I85" s="324"/>
      <c r="J85" s="324"/>
      <c r="K85" s="324"/>
      <c r="L85" s="324"/>
      <c r="M85" s="324"/>
      <c r="P85" s="324"/>
      <c r="Q85" s="324"/>
      <c r="R85" s="324"/>
      <c r="S85" s="324"/>
      <c r="T85" s="324"/>
      <c r="U85" s="324"/>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116"/>
  <sheetViews>
    <sheetView view="pageBreakPreview" zoomScaleNormal="100" zoomScaleSheetLayoutView="100" workbookViewId="0">
      <selection activeCell="AE3" sqref="AE3"/>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2" t="str">
        <f>Schlüssel!$BU$1</f>
        <v>16.03.</v>
      </c>
      <c r="M1" s="362"/>
      <c r="N1" s="362"/>
      <c r="O1" s="362"/>
      <c r="P1" s="362"/>
      <c r="AE1" s="90" t="s">
        <v>1809</v>
      </c>
    </row>
    <row r="2" spans="1:31" ht="17.25" customHeight="1" thickBot="1" x14ac:dyDescent="0.35">
      <c r="A2" s="49"/>
      <c r="B2" s="50">
        <v>1</v>
      </c>
      <c r="C2" s="30" t="s">
        <v>1783</v>
      </c>
      <c r="D2" s="84" t="str">
        <f>Schlüssel!$BK$2</f>
        <v>Nürnberg West Bowling</v>
      </c>
      <c r="F2" s="76"/>
      <c r="G2" s="76"/>
      <c r="H2" s="76"/>
      <c r="I2" s="76"/>
      <c r="K2" s="76"/>
      <c r="L2" s="29" t="s">
        <v>1781</v>
      </c>
      <c r="M2" s="34">
        <v>4</v>
      </c>
      <c r="N2" s="234"/>
      <c r="O2" s="234"/>
      <c r="P2" s="28"/>
      <c r="AE2" s="91">
        <v>19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VLOOKUP(B2,Schlüssel!$A$5:$DF$10,73)</f>
        <v>20</v>
      </c>
      <c r="F4" s="47" t="s">
        <v>10</v>
      </c>
      <c r="G4" s="7">
        <f>VLOOKUP(B2,Schlüssel!$A$5:$DF$10,74)</f>
        <v>19</v>
      </c>
      <c r="H4" s="47" t="s">
        <v>10</v>
      </c>
      <c r="I4" s="7">
        <f>VLOOKUP(B2,Schlüssel!$A$5:$DF$10,75)</f>
        <v>20</v>
      </c>
      <c r="J4" s="47" t="s">
        <v>10</v>
      </c>
      <c r="K4" s="7">
        <f>VLOOKUP(B2,Schlüssel!$A$5:$DF$10,76)</f>
        <v>19</v>
      </c>
      <c r="L4" s="47" t="s">
        <v>10</v>
      </c>
      <c r="M4" s="66">
        <f>VLOOKUP(B2,Schlüssel!$A$5:$DF$10,77)</f>
        <v>20</v>
      </c>
      <c r="N4" s="43" t="s">
        <v>10</v>
      </c>
      <c r="O4" s="66">
        <f>VLOOKUP(B2,Schlüssel!$A$5:$DF$10,78)</f>
        <v>19</v>
      </c>
    </row>
    <row r="5" spans="1:31" ht="20.25" customHeight="1" x14ac:dyDescent="0.25">
      <c r="B5" s="40" t="s">
        <v>1</v>
      </c>
      <c r="C5" s="41"/>
      <c r="D5" s="363" t="s">
        <v>1789</v>
      </c>
      <c r="E5" s="364"/>
      <c r="F5" s="363" t="s">
        <v>1790</v>
      </c>
      <c r="G5" s="364"/>
      <c r="H5" s="363" t="s">
        <v>1791</v>
      </c>
      <c r="I5" s="364"/>
      <c r="J5" s="363" t="s">
        <v>1792</v>
      </c>
      <c r="K5" s="364"/>
      <c r="L5" s="363" t="s">
        <v>1793</v>
      </c>
      <c r="M5" s="364"/>
      <c r="N5" s="363" t="s">
        <v>2088</v>
      </c>
      <c r="O5" s="364"/>
      <c r="P5" s="365" t="s">
        <v>1788</v>
      </c>
      <c r="Q5" s="36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9" t="s">
        <v>0</v>
      </c>
      <c r="B7" s="17"/>
      <c r="C7" s="18"/>
      <c r="D7" s="14"/>
      <c r="E7" s="356"/>
      <c r="F7" s="14"/>
      <c r="G7" s="356"/>
      <c r="H7" s="14"/>
      <c r="I7" s="356"/>
      <c r="J7" s="14"/>
      <c r="K7" s="356"/>
      <c r="L7" s="14"/>
      <c r="M7" s="356"/>
      <c r="N7" s="14"/>
      <c r="O7" s="356"/>
      <c r="P7" s="14"/>
      <c r="Q7" s="356"/>
    </row>
    <row r="8" spans="1:31" ht="17.100000000000001" customHeight="1" x14ac:dyDescent="0.25">
      <c r="A8" s="360"/>
      <c r="B8" s="19"/>
      <c r="C8" s="20"/>
      <c r="D8" s="15"/>
      <c r="E8" s="357"/>
      <c r="F8" s="15"/>
      <c r="G8" s="357"/>
      <c r="H8" s="15"/>
      <c r="I8" s="357"/>
      <c r="J8" s="15"/>
      <c r="K8" s="357"/>
      <c r="L8" s="15"/>
      <c r="M8" s="357"/>
      <c r="N8" s="15"/>
      <c r="O8" s="357"/>
      <c r="P8" s="15"/>
      <c r="Q8" s="357"/>
    </row>
    <row r="9" spans="1:31" ht="17.100000000000001" customHeight="1" thickBot="1" x14ac:dyDescent="0.3">
      <c r="A9" s="361"/>
      <c r="B9" s="21"/>
      <c r="C9" s="22"/>
      <c r="D9" s="9"/>
      <c r="E9" s="358"/>
      <c r="F9" s="9"/>
      <c r="G9" s="358"/>
      <c r="H9" s="9"/>
      <c r="I9" s="358"/>
      <c r="J9" s="9"/>
      <c r="K9" s="358"/>
      <c r="L9" s="9"/>
      <c r="M9" s="358"/>
      <c r="N9" s="9"/>
      <c r="O9" s="358"/>
      <c r="P9" s="9"/>
      <c r="Q9" s="358"/>
    </row>
    <row r="10" spans="1:31" ht="17.100000000000001" customHeight="1" x14ac:dyDescent="0.25">
      <c r="A10" s="359" t="s">
        <v>2</v>
      </c>
      <c r="B10" s="17"/>
      <c r="C10" s="18"/>
      <c r="D10" s="14"/>
      <c r="E10" s="356"/>
      <c r="F10" s="14"/>
      <c r="G10" s="356"/>
      <c r="H10" s="14"/>
      <c r="I10" s="356"/>
      <c r="J10" s="14"/>
      <c r="K10" s="356"/>
      <c r="L10" s="14"/>
      <c r="M10" s="356"/>
      <c r="N10" s="14"/>
      <c r="O10" s="356"/>
      <c r="P10" s="14"/>
      <c r="Q10" s="356"/>
    </row>
    <row r="11" spans="1:31" ht="17.100000000000001" customHeight="1" x14ac:dyDescent="0.25">
      <c r="A11" s="360"/>
      <c r="B11" s="19"/>
      <c r="C11" s="20"/>
      <c r="D11" s="15"/>
      <c r="E11" s="357"/>
      <c r="F11" s="15"/>
      <c r="G11" s="357"/>
      <c r="H11" s="15"/>
      <c r="I11" s="357"/>
      <c r="J11" s="15"/>
      <c r="K11" s="357"/>
      <c r="L11" s="15"/>
      <c r="M11" s="357"/>
      <c r="N11" s="15"/>
      <c r="O11" s="357"/>
      <c r="P11" s="15"/>
      <c r="Q11" s="357"/>
    </row>
    <row r="12" spans="1:31" ht="17.100000000000001" customHeight="1" thickBot="1" x14ac:dyDescent="0.3">
      <c r="A12" s="361"/>
      <c r="B12" s="21"/>
      <c r="C12" s="22"/>
      <c r="D12" s="9"/>
      <c r="E12" s="358"/>
      <c r="F12" s="9"/>
      <c r="G12" s="358"/>
      <c r="H12" s="9"/>
      <c r="I12" s="358"/>
      <c r="J12" s="9"/>
      <c r="K12" s="358"/>
      <c r="L12" s="9"/>
      <c r="M12" s="358"/>
      <c r="N12" s="9"/>
      <c r="O12" s="358"/>
      <c r="P12" s="9"/>
      <c r="Q12" s="358"/>
    </row>
    <row r="13" spans="1:31" ht="17.100000000000001" customHeight="1" x14ac:dyDescent="0.25">
      <c r="A13" s="359" t="s">
        <v>3</v>
      </c>
      <c r="B13" s="17"/>
      <c r="C13" s="18"/>
      <c r="D13" s="14"/>
      <c r="E13" s="356"/>
      <c r="F13" s="14"/>
      <c r="G13" s="356"/>
      <c r="H13" s="14"/>
      <c r="I13" s="356"/>
      <c r="J13" s="14"/>
      <c r="K13" s="356"/>
      <c r="L13" s="14"/>
      <c r="M13" s="356"/>
      <c r="N13" s="14"/>
      <c r="O13" s="356"/>
      <c r="P13" s="14"/>
      <c r="Q13" s="356"/>
    </row>
    <row r="14" spans="1:31" ht="17.100000000000001" customHeight="1" x14ac:dyDescent="0.25">
      <c r="A14" s="360"/>
      <c r="B14" s="19"/>
      <c r="C14" s="20"/>
      <c r="D14" s="15"/>
      <c r="E14" s="357"/>
      <c r="F14" s="15"/>
      <c r="G14" s="357"/>
      <c r="H14" s="15"/>
      <c r="I14" s="357"/>
      <c r="J14" s="15"/>
      <c r="K14" s="357"/>
      <c r="L14" s="15"/>
      <c r="M14" s="357"/>
      <c r="N14" s="15"/>
      <c r="O14" s="357"/>
      <c r="P14" s="15"/>
      <c r="Q14" s="357"/>
    </row>
    <row r="15" spans="1:31" ht="17.100000000000001" customHeight="1" thickBot="1" x14ac:dyDescent="0.3">
      <c r="A15" s="361"/>
      <c r="B15" s="21"/>
      <c r="C15" s="22"/>
      <c r="D15" s="9"/>
      <c r="E15" s="358"/>
      <c r="F15" s="9"/>
      <c r="G15" s="358"/>
      <c r="H15" s="9"/>
      <c r="I15" s="358"/>
      <c r="J15" s="9"/>
      <c r="K15" s="358"/>
      <c r="L15" s="9"/>
      <c r="M15" s="358"/>
      <c r="N15" s="9"/>
      <c r="O15" s="358"/>
      <c r="P15" s="9"/>
      <c r="Q15" s="358"/>
    </row>
    <row r="16" spans="1:31" ht="17.100000000000001" customHeight="1" x14ac:dyDescent="0.25">
      <c r="A16" s="359" t="s">
        <v>11</v>
      </c>
      <c r="B16" s="17"/>
      <c r="C16" s="18"/>
      <c r="D16" s="14"/>
      <c r="E16" s="356"/>
      <c r="F16" s="14"/>
      <c r="G16" s="356"/>
      <c r="H16" s="14"/>
      <c r="I16" s="356"/>
      <c r="J16" s="14"/>
      <c r="K16" s="356"/>
      <c r="L16" s="14"/>
      <c r="M16" s="356"/>
      <c r="N16" s="14"/>
      <c r="O16" s="356"/>
      <c r="P16" s="14"/>
      <c r="Q16" s="356"/>
    </row>
    <row r="17" spans="1:31" ht="17.100000000000001" customHeight="1" x14ac:dyDescent="0.25">
      <c r="A17" s="360"/>
      <c r="B17" s="19"/>
      <c r="C17" s="20"/>
      <c r="D17" s="15"/>
      <c r="E17" s="357"/>
      <c r="F17" s="15"/>
      <c r="G17" s="357"/>
      <c r="H17" s="15"/>
      <c r="I17" s="357"/>
      <c r="J17" s="15"/>
      <c r="K17" s="357"/>
      <c r="L17" s="15"/>
      <c r="M17" s="357"/>
      <c r="N17" s="15"/>
      <c r="O17" s="357"/>
      <c r="P17" s="15"/>
      <c r="Q17" s="357"/>
    </row>
    <row r="18" spans="1:31" ht="17.100000000000001" customHeight="1" thickBot="1" x14ac:dyDescent="0.3">
      <c r="A18" s="361"/>
      <c r="B18" s="21"/>
      <c r="C18" s="22"/>
      <c r="D18" s="9"/>
      <c r="E18" s="358"/>
      <c r="F18" s="9"/>
      <c r="G18" s="358"/>
      <c r="H18" s="9"/>
      <c r="I18" s="358"/>
      <c r="J18" s="9"/>
      <c r="K18" s="358"/>
      <c r="L18" s="9"/>
      <c r="M18" s="358"/>
      <c r="N18" s="9"/>
      <c r="O18" s="358"/>
      <c r="P18" s="9"/>
      <c r="Q18" s="358"/>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4">
        <f>VLOOKUP(B2,Schlüssel!$A$5:$DF$10,63)</f>
        <v>2</v>
      </c>
      <c r="E22" s="354"/>
      <c r="F22" s="354">
        <f>VLOOKUP(B2,Schlüssel!$A$5:$DF$10,64)</f>
        <v>2</v>
      </c>
      <c r="G22" s="354"/>
      <c r="H22" s="354">
        <f>VLOOKUP(B2,Schlüssel!$A$5:$DF$10,65)</f>
        <v>2</v>
      </c>
      <c r="I22" s="354"/>
      <c r="J22" s="354">
        <f>VLOOKUP(B2,Schlüssel!$A$5:$DF$10,66)</f>
        <v>2</v>
      </c>
      <c r="K22" s="354"/>
      <c r="L22" s="354">
        <f>VLOOKUP(B2,Schlüssel!$A$5:$DF$10,67)</f>
        <v>2</v>
      </c>
      <c r="M22" s="354"/>
      <c r="N22" s="354">
        <f>VLOOKUP(B2,Schlüssel!$A$5:$DF$10,68)</f>
        <v>2</v>
      </c>
      <c r="O22" s="354"/>
      <c r="P22" s="355"/>
      <c r="Q22" s="355"/>
    </row>
    <row r="23" spans="1:31" ht="28.5" customHeight="1" x14ac:dyDescent="0.25">
      <c r="B23" s="4"/>
      <c r="C23" s="1"/>
      <c r="D23" s="351" t="str">
        <f>VLOOKUP(D22,Schlüssel!$A$5:$K$10,2)</f>
        <v>BC Phönix Lauf</v>
      </c>
      <c r="E23" s="352"/>
      <c r="F23" s="351" t="str">
        <f>VLOOKUP(F22,Schlüssel!$A$5:$K$10,2)</f>
        <v>BC Phönix Lauf</v>
      </c>
      <c r="G23" s="352"/>
      <c r="H23" s="351" t="str">
        <f>VLOOKUP(H22,Schlüssel!$A$5:$K$10,2)</f>
        <v>BC Phönix Lauf</v>
      </c>
      <c r="I23" s="352"/>
      <c r="J23" s="351" t="str">
        <f>VLOOKUP(J22,Schlüssel!$A$5:$K$10,2)</f>
        <v>BC Phönix Lauf</v>
      </c>
      <c r="K23" s="352"/>
      <c r="L23" s="351" t="str">
        <f>VLOOKUP(L22,Schlüssel!$A$5:$K$10,2)</f>
        <v>BC Phönix Lauf</v>
      </c>
      <c r="M23" s="352"/>
      <c r="N23" s="351" t="str">
        <f>VLOOKUP(N22,Schlüssel!$A$5:$K$10,2)</f>
        <v>BC Phönix Lauf</v>
      </c>
      <c r="O23" s="352"/>
      <c r="P23" s="353"/>
      <c r="Q23" s="353"/>
    </row>
    <row r="24" spans="1:31" ht="12" customHeight="1" x14ac:dyDescent="0.25">
      <c r="B24" s="4"/>
      <c r="C24" s="1"/>
      <c r="D24" s="350"/>
      <c r="E24" s="350"/>
      <c r="F24" s="350"/>
      <c r="G24" s="350"/>
      <c r="H24" s="350"/>
      <c r="I24" s="350"/>
      <c r="J24" s="350"/>
      <c r="K24" s="350"/>
      <c r="L24" s="350"/>
      <c r="M24" s="350"/>
      <c r="N24" s="350"/>
      <c r="O24" s="350"/>
      <c r="P24" s="307"/>
      <c r="Q24" s="307"/>
    </row>
    <row r="25" spans="1:31" ht="15.9" customHeight="1" x14ac:dyDescent="0.25">
      <c r="B25" s="35" t="s">
        <v>0</v>
      </c>
      <c r="C25" s="36"/>
      <c r="D25" s="348"/>
      <c r="E25" s="348"/>
      <c r="F25" s="348"/>
      <c r="G25" s="348"/>
      <c r="H25" s="348"/>
      <c r="I25" s="348"/>
      <c r="J25" s="348"/>
      <c r="K25" s="348"/>
      <c r="L25" s="348"/>
      <c r="M25" s="348"/>
      <c r="N25" s="348"/>
      <c r="O25" s="348"/>
      <c r="P25" s="349"/>
      <c r="Q25" s="349"/>
    </row>
    <row r="26" spans="1:31" ht="15.9" customHeight="1" x14ac:dyDescent="0.25">
      <c r="B26" s="35" t="s">
        <v>2</v>
      </c>
      <c r="C26" s="36"/>
      <c r="D26" s="348"/>
      <c r="E26" s="348"/>
      <c r="F26" s="348"/>
      <c r="G26" s="348"/>
      <c r="H26" s="348"/>
      <c r="I26" s="348"/>
      <c r="J26" s="348"/>
      <c r="K26" s="348"/>
      <c r="L26" s="348"/>
      <c r="M26" s="348"/>
      <c r="N26" s="348"/>
      <c r="O26" s="348"/>
      <c r="P26" s="349"/>
      <c r="Q26" s="349"/>
    </row>
    <row r="27" spans="1:31" ht="15.9" customHeight="1" x14ac:dyDescent="0.25">
      <c r="B27" s="35" t="s">
        <v>3</v>
      </c>
      <c r="C27" s="36"/>
      <c r="D27" s="348"/>
      <c r="E27" s="348"/>
      <c r="F27" s="348"/>
      <c r="G27" s="348"/>
      <c r="H27" s="348"/>
      <c r="I27" s="348"/>
      <c r="J27" s="348"/>
      <c r="K27" s="348"/>
      <c r="L27" s="348"/>
      <c r="M27" s="348"/>
      <c r="N27" s="348"/>
      <c r="O27" s="348"/>
      <c r="P27" s="349"/>
      <c r="Q27" s="349"/>
    </row>
    <row r="28" spans="1:31" ht="15.9" customHeight="1" x14ac:dyDescent="0.25">
      <c r="B28" s="35" t="s">
        <v>11</v>
      </c>
      <c r="C28" s="36"/>
      <c r="D28" s="348"/>
      <c r="E28" s="348"/>
      <c r="F28" s="348"/>
      <c r="G28" s="348"/>
      <c r="H28" s="348"/>
      <c r="I28" s="348"/>
      <c r="J28" s="348"/>
      <c r="K28" s="348"/>
      <c r="L28" s="348"/>
      <c r="M28" s="348"/>
      <c r="N28" s="348"/>
      <c r="O28" s="348"/>
      <c r="P28" s="349"/>
      <c r="Q28" s="349"/>
    </row>
    <row r="29" spans="1:31" ht="15.9" customHeight="1" x14ac:dyDescent="0.25">
      <c r="B29" s="37" t="s">
        <v>1788</v>
      </c>
      <c r="C29" s="38"/>
      <c r="D29" s="347"/>
      <c r="E29" s="347"/>
      <c r="F29" s="347"/>
      <c r="G29" s="347"/>
      <c r="H29" s="347"/>
      <c r="I29" s="347"/>
      <c r="J29" s="347"/>
      <c r="K29" s="347"/>
      <c r="L29" s="347"/>
      <c r="M29" s="347"/>
      <c r="N29" s="347"/>
      <c r="O29" s="347"/>
      <c r="P29" s="312"/>
      <c r="Q29" s="312"/>
    </row>
    <row r="30" spans="1:31" ht="21" customHeight="1" x14ac:dyDescent="0.4">
      <c r="B30" s="7" t="s">
        <v>1798</v>
      </c>
      <c r="C30" s="30" t="s">
        <v>1782</v>
      </c>
      <c r="D30" s="76" t="str">
        <f>Schlüssel!$C$1</f>
        <v>Landesliga Nord Frauen</v>
      </c>
      <c r="F30" s="25"/>
      <c r="G30" s="25"/>
      <c r="H30" s="25"/>
      <c r="I30" s="25"/>
      <c r="K30" s="29"/>
      <c r="L30" s="362" t="str">
        <f>Schlüssel!$BU$1</f>
        <v>16.03.</v>
      </c>
      <c r="M30" s="362"/>
      <c r="N30" s="362"/>
      <c r="O30" s="362"/>
      <c r="P30" s="362"/>
      <c r="AE30" s="90"/>
    </row>
    <row r="31" spans="1:31" ht="17.25" customHeight="1" thickBot="1" x14ac:dyDescent="0.35">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VLOOKUP(B31,Schlüssel!$A$5:$DF$10,73)</f>
        <v>19</v>
      </c>
      <c r="F33" s="47" t="s">
        <v>10</v>
      </c>
      <c r="G33" s="7">
        <f>VLOOKUP(B31,Schlüssel!$A$5:$DF$10,74)</f>
        <v>20</v>
      </c>
      <c r="H33" s="47" t="s">
        <v>10</v>
      </c>
      <c r="I33" s="7">
        <f>VLOOKUP(B31,Schlüssel!$A$5:$DF$10,75)</f>
        <v>19</v>
      </c>
      <c r="J33" s="47" t="s">
        <v>10</v>
      </c>
      <c r="K33" s="7">
        <f>VLOOKUP(B31,Schlüssel!$A$5:$DF$10,76)</f>
        <v>20</v>
      </c>
      <c r="L33" s="47" t="s">
        <v>10</v>
      </c>
      <c r="M33" s="66">
        <f>VLOOKUP(B31,Schlüssel!$A$5:$DF$10,77)</f>
        <v>19</v>
      </c>
      <c r="N33" s="43" t="s">
        <v>10</v>
      </c>
      <c r="O33" s="66">
        <f>VLOOKUP(B31,Schlüssel!$A$5:$DF$10,78)</f>
        <v>20</v>
      </c>
    </row>
    <row r="34" spans="1:17" ht="20.25" customHeight="1" x14ac:dyDescent="0.25">
      <c r="B34" s="40" t="s">
        <v>1</v>
      </c>
      <c r="C34" s="41"/>
      <c r="D34" s="363" t="s">
        <v>1789</v>
      </c>
      <c r="E34" s="364"/>
      <c r="F34" s="363" t="s">
        <v>1790</v>
      </c>
      <c r="G34" s="364"/>
      <c r="H34" s="363" t="s">
        <v>1791</v>
      </c>
      <c r="I34" s="364"/>
      <c r="J34" s="363" t="s">
        <v>1792</v>
      </c>
      <c r="K34" s="364"/>
      <c r="L34" s="363" t="s">
        <v>1793</v>
      </c>
      <c r="M34" s="364"/>
      <c r="N34" s="363" t="s">
        <v>2088</v>
      </c>
      <c r="O34" s="364"/>
      <c r="P34" s="365" t="s">
        <v>1788</v>
      </c>
      <c r="Q34" s="36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9" t="s">
        <v>0</v>
      </c>
      <c r="B36" s="17"/>
      <c r="C36" s="18"/>
      <c r="D36" s="14"/>
      <c r="E36" s="356"/>
      <c r="F36" s="14"/>
      <c r="G36" s="356"/>
      <c r="H36" s="14"/>
      <c r="I36" s="356"/>
      <c r="J36" s="14"/>
      <c r="K36" s="356"/>
      <c r="L36" s="14"/>
      <c r="M36" s="356"/>
      <c r="N36" s="14"/>
      <c r="O36" s="356"/>
      <c r="P36" s="14"/>
      <c r="Q36" s="356"/>
    </row>
    <row r="37" spans="1:17" ht="17.100000000000001" customHeight="1" x14ac:dyDescent="0.25">
      <c r="A37" s="360"/>
      <c r="B37" s="19"/>
      <c r="C37" s="20"/>
      <c r="D37" s="15"/>
      <c r="E37" s="357"/>
      <c r="F37" s="15"/>
      <c r="G37" s="357"/>
      <c r="H37" s="15"/>
      <c r="I37" s="357"/>
      <c r="J37" s="15"/>
      <c r="K37" s="357"/>
      <c r="L37" s="15"/>
      <c r="M37" s="357"/>
      <c r="N37" s="15"/>
      <c r="O37" s="357"/>
      <c r="P37" s="15"/>
      <c r="Q37" s="357"/>
    </row>
    <row r="38" spans="1:17" ht="17.100000000000001" customHeight="1" thickBot="1" x14ac:dyDescent="0.3">
      <c r="A38" s="361"/>
      <c r="B38" s="21"/>
      <c r="C38" s="22"/>
      <c r="D38" s="9"/>
      <c r="E38" s="358"/>
      <c r="F38" s="9"/>
      <c r="G38" s="358"/>
      <c r="H38" s="9"/>
      <c r="I38" s="358"/>
      <c r="J38" s="9"/>
      <c r="K38" s="358"/>
      <c r="L38" s="9"/>
      <c r="M38" s="358"/>
      <c r="N38" s="9"/>
      <c r="O38" s="358"/>
      <c r="P38" s="9"/>
      <c r="Q38" s="358"/>
    </row>
    <row r="39" spans="1:17" ht="17.100000000000001" customHeight="1" x14ac:dyDescent="0.25">
      <c r="A39" s="359" t="s">
        <v>2</v>
      </c>
      <c r="B39" s="17"/>
      <c r="C39" s="18"/>
      <c r="D39" s="14"/>
      <c r="E39" s="356"/>
      <c r="F39" s="14"/>
      <c r="G39" s="356"/>
      <c r="H39" s="14"/>
      <c r="I39" s="356"/>
      <c r="J39" s="14"/>
      <c r="K39" s="356"/>
      <c r="L39" s="14"/>
      <c r="M39" s="356"/>
      <c r="N39" s="14"/>
      <c r="O39" s="356"/>
      <c r="P39" s="14"/>
      <c r="Q39" s="356"/>
    </row>
    <row r="40" spans="1:17" ht="17.100000000000001" customHeight="1" x14ac:dyDescent="0.25">
      <c r="A40" s="360"/>
      <c r="B40" s="19"/>
      <c r="C40" s="20"/>
      <c r="D40" s="15"/>
      <c r="E40" s="357"/>
      <c r="F40" s="15"/>
      <c r="G40" s="357"/>
      <c r="H40" s="15"/>
      <c r="I40" s="357"/>
      <c r="J40" s="15"/>
      <c r="K40" s="357"/>
      <c r="L40" s="15"/>
      <c r="M40" s="357"/>
      <c r="N40" s="15"/>
      <c r="O40" s="357"/>
      <c r="P40" s="15"/>
      <c r="Q40" s="357"/>
    </row>
    <row r="41" spans="1:17" ht="17.100000000000001" customHeight="1" thickBot="1" x14ac:dyDescent="0.3">
      <c r="A41" s="361"/>
      <c r="B41" s="21"/>
      <c r="C41" s="22"/>
      <c r="D41" s="9"/>
      <c r="E41" s="358"/>
      <c r="F41" s="9"/>
      <c r="G41" s="358"/>
      <c r="H41" s="9"/>
      <c r="I41" s="358"/>
      <c r="J41" s="9"/>
      <c r="K41" s="358"/>
      <c r="L41" s="9"/>
      <c r="M41" s="358"/>
      <c r="N41" s="9"/>
      <c r="O41" s="358"/>
      <c r="P41" s="9"/>
      <c r="Q41" s="358"/>
    </row>
    <row r="42" spans="1:17" ht="17.100000000000001" customHeight="1" x14ac:dyDescent="0.25">
      <c r="A42" s="359" t="s">
        <v>3</v>
      </c>
      <c r="B42" s="17"/>
      <c r="C42" s="18"/>
      <c r="D42" s="14"/>
      <c r="E42" s="356"/>
      <c r="F42" s="14"/>
      <c r="G42" s="356"/>
      <c r="H42" s="14"/>
      <c r="I42" s="356"/>
      <c r="J42" s="14"/>
      <c r="K42" s="356"/>
      <c r="L42" s="14"/>
      <c r="M42" s="356"/>
      <c r="N42" s="14"/>
      <c r="O42" s="356"/>
      <c r="P42" s="14"/>
      <c r="Q42" s="356"/>
    </row>
    <row r="43" spans="1:17" ht="17.100000000000001" customHeight="1" x14ac:dyDescent="0.25">
      <c r="A43" s="360"/>
      <c r="B43" s="19"/>
      <c r="C43" s="20"/>
      <c r="D43" s="15"/>
      <c r="E43" s="357"/>
      <c r="F43" s="15"/>
      <c r="G43" s="357"/>
      <c r="H43" s="15"/>
      <c r="I43" s="357"/>
      <c r="J43" s="15"/>
      <c r="K43" s="357"/>
      <c r="L43" s="15"/>
      <c r="M43" s="357"/>
      <c r="N43" s="15"/>
      <c r="O43" s="357"/>
      <c r="P43" s="15"/>
      <c r="Q43" s="357"/>
    </row>
    <row r="44" spans="1:17" ht="17.100000000000001" customHeight="1" thickBot="1" x14ac:dyDescent="0.3">
      <c r="A44" s="361"/>
      <c r="B44" s="21"/>
      <c r="C44" s="22"/>
      <c r="D44" s="9"/>
      <c r="E44" s="358"/>
      <c r="F44" s="9"/>
      <c r="G44" s="358"/>
      <c r="H44" s="9"/>
      <c r="I44" s="358"/>
      <c r="J44" s="9"/>
      <c r="K44" s="358"/>
      <c r="L44" s="9"/>
      <c r="M44" s="358"/>
      <c r="N44" s="9"/>
      <c r="O44" s="358"/>
      <c r="P44" s="9"/>
      <c r="Q44" s="358"/>
    </row>
    <row r="45" spans="1:17" ht="17.100000000000001" customHeight="1" x14ac:dyDescent="0.25">
      <c r="A45" s="359" t="s">
        <v>11</v>
      </c>
      <c r="B45" s="17"/>
      <c r="C45" s="18"/>
      <c r="D45" s="14"/>
      <c r="E45" s="356"/>
      <c r="F45" s="14"/>
      <c r="G45" s="356"/>
      <c r="H45" s="14"/>
      <c r="I45" s="356"/>
      <c r="J45" s="14"/>
      <c r="K45" s="356"/>
      <c r="L45" s="14"/>
      <c r="M45" s="356"/>
      <c r="N45" s="14"/>
      <c r="O45" s="356"/>
      <c r="P45" s="14"/>
      <c r="Q45" s="356"/>
    </row>
    <row r="46" spans="1:17" ht="17.100000000000001" customHeight="1" x14ac:dyDescent="0.25">
      <c r="A46" s="360"/>
      <c r="B46" s="19"/>
      <c r="C46" s="20"/>
      <c r="D46" s="15"/>
      <c r="E46" s="357"/>
      <c r="F46" s="15"/>
      <c r="G46" s="357"/>
      <c r="H46" s="15"/>
      <c r="I46" s="357"/>
      <c r="J46" s="15"/>
      <c r="K46" s="357"/>
      <c r="L46" s="15"/>
      <c r="M46" s="357"/>
      <c r="N46" s="15"/>
      <c r="O46" s="357"/>
      <c r="P46" s="15"/>
      <c r="Q46" s="357"/>
    </row>
    <row r="47" spans="1:17" ht="17.100000000000001" customHeight="1" thickBot="1" x14ac:dyDescent="0.3">
      <c r="A47" s="361"/>
      <c r="B47" s="21"/>
      <c r="C47" s="22"/>
      <c r="D47" s="9"/>
      <c r="E47" s="358"/>
      <c r="F47" s="9"/>
      <c r="G47" s="358"/>
      <c r="H47" s="9"/>
      <c r="I47" s="358"/>
      <c r="J47" s="9"/>
      <c r="K47" s="358"/>
      <c r="L47" s="9"/>
      <c r="M47" s="358"/>
      <c r="N47" s="9"/>
      <c r="O47" s="358"/>
      <c r="P47" s="9"/>
      <c r="Q47" s="358"/>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4">
        <f>VLOOKUP(B31,Schlüssel!$A$5:$DF$10,63)</f>
        <v>1</v>
      </c>
      <c r="E51" s="354"/>
      <c r="F51" s="354">
        <f>VLOOKUP(B31,Schlüssel!$A$5:$DF$10,64)</f>
        <v>1</v>
      </c>
      <c r="G51" s="354"/>
      <c r="H51" s="354">
        <f>VLOOKUP(B31,Schlüssel!$A$5:$DF$10,65)</f>
        <v>1</v>
      </c>
      <c r="I51" s="354"/>
      <c r="J51" s="354">
        <f>VLOOKUP(B31,Schlüssel!$A$5:$DF$10,66)</f>
        <v>1</v>
      </c>
      <c r="K51" s="354"/>
      <c r="L51" s="354">
        <f>VLOOKUP(B31,Schlüssel!$A$5:$DF$10,67)</f>
        <v>1</v>
      </c>
      <c r="M51" s="354"/>
      <c r="N51" s="354">
        <f>VLOOKUP(B31,Schlüssel!$A$5:$DF$10,68)</f>
        <v>1</v>
      </c>
      <c r="O51" s="354"/>
      <c r="P51" s="355"/>
      <c r="Q51" s="355"/>
    </row>
    <row r="52" spans="1:31" ht="28.5" customHeight="1" x14ac:dyDescent="0.25">
      <c r="B52" s="4"/>
      <c r="C52" s="1"/>
      <c r="D52" s="351" t="str">
        <f>VLOOKUP(D51,Schlüssel!$A$5:$K$10,2)</f>
        <v>Kleeblatt Fürth</v>
      </c>
      <c r="E52" s="352"/>
      <c r="F52" s="351" t="str">
        <f>VLOOKUP(F51,Schlüssel!$A$5:$K$10,2)</f>
        <v>Kleeblatt Fürth</v>
      </c>
      <c r="G52" s="352"/>
      <c r="H52" s="351" t="str">
        <f>VLOOKUP(H51,Schlüssel!$A$5:$K$10,2)</f>
        <v>Kleeblatt Fürth</v>
      </c>
      <c r="I52" s="352"/>
      <c r="J52" s="351" t="str">
        <f>VLOOKUP(J51,Schlüssel!$A$5:$K$10,2)</f>
        <v>Kleeblatt Fürth</v>
      </c>
      <c r="K52" s="352"/>
      <c r="L52" s="351" t="str">
        <f>VLOOKUP(L51,Schlüssel!$A$5:$K$10,2)</f>
        <v>Kleeblatt Fürth</v>
      </c>
      <c r="M52" s="352"/>
      <c r="N52" s="351" t="str">
        <f>VLOOKUP(N51,Schlüssel!$A$5:$K$10,2)</f>
        <v>Kleeblatt Fürth</v>
      </c>
      <c r="O52" s="352"/>
      <c r="P52" s="353"/>
      <c r="Q52" s="353"/>
    </row>
    <row r="53" spans="1:31" ht="12" customHeight="1" x14ac:dyDescent="0.25">
      <c r="B53" s="4"/>
      <c r="C53" s="1"/>
      <c r="D53" s="350"/>
      <c r="E53" s="350"/>
      <c r="F53" s="350"/>
      <c r="G53" s="350"/>
      <c r="H53" s="350"/>
      <c r="I53" s="350"/>
      <c r="J53" s="350"/>
      <c r="K53" s="350"/>
      <c r="L53" s="350"/>
      <c r="M53" s="350"/>
      <c r="N53" s="350"/>
      <c r="O53" s="350"/>
      <c r="P53" s="307"/>
      <c r="Q53" s="307"/>
    </row>
    <row r="54" spans="1:31" ht="15.9" customHeight="1" x14ac:dyDescent="0.25">
      <c r="B54" s="35" t="s">
        <v>0</v>
      </c>
      <c r="C54" s="36"/>
      <c r="D54" s="348"/>
      <c r="E54" s="348"/>
      <c r="F54" s="348"/>
      <c r="G54" s="348"/>
      <c r="H54" s="348"/>
      <c r="I54" s="348"/>
      <c r="J54" s="348"/>
      <c r="K54" s="348"/>
      <c r="L54" s="348"/>
      <c r="M54" s="348"/>
      <c r="N54" s="348"/>
      <c r="O54" s="348"/>
      <c r="P54" s="349"/>
      <c r="Q54" s="349"/>
    </row>
    <row r="55" spans="1:31" ht="15.9" customHeight="1" x14ac:dyDescent="0.25">
      <c r="B55" s="35" t="s">
        <v>2</v>
      </c>
      <c r="C55" s="36"/>
      <c r="D55" s="348"/>
      <c r="E55" s="348"/>
      <c r="F55" s="348"/>
      <c r="G55" s="348"/>
      <c r="H55" s="348"/>
      <c r="I55" s="348"/>
      <c r="J55" s="348"/>
      <c r="K55" s="348"/>
      <c r="L55" s="348"/>
      <c r="M55" s="348"/>
      <c r="N55" s="348"/>
      <c r="O55" s="348"/>
      <c r="P55" s="349"/>
      <c r="Q55" s="349"/>
    </row>
    <row r="56" spans="1:31" ht="15.9" customHeight="1" x14ac:dyDescent="0.25">
      <c r="B56" s="35" t="s">
        <v>3</v>
      </c>
      <c r="C56" s="36"/>
      <c r="D56" s="348"/>
      <c r="E56" s="348"/>
      <c r="F56" s="348"/>
      <c r="G56" s="348"/>
      <c r="H56" s="348"/>
      <c r="I56" s="348"/>
      <c r="J56" s="348"/>
      <c r="K56" s="348"/>
      <c r="L56" s="348"/>
      <c r="M56" s="348"/>
      <c r="N56" s="348"/>
      <c r="O56" s="348"/>
      <c r="P56" s="349"/>
      <c r="Q56" s="349"/>
    </row>
    <row r="57" spans="1:31" ht="15.9" customHeight="1" x14ac:dyDescent="0.25">
      <c r="B57" s="35" t="s">
        <v>11</v>
      </c>
      <c r="C57" s="36"/>
      <c r="D57" s="348"/>
      <c r="E57" s="348"/>
      <c r="F57" s="348"/>
      <c r="G57" s="348"/>
      <c r="H57" s="348"/>
      <c r="I57" s="348"/>
      <c r="J57" s="348"/>
      <c r="K57" s="348"/>
      <c r="L57" s="348"/>
      <c r="M57" s="348"/>
      <c r="N57" s="348"/>
      <c r="O57" s="348"/>
      <c r="P57" s="349"/>
      <c r="Q57" s="349"/>
    </row>
    <row r="58" spans="1:31" ht="15.9" customHeight="1" x14ac:dyDescent="0.25">
      <c r="B58" s="37" t="s">
        <v>1788</v>
      </c>
      <c r="C58" s="38"/>
      <c r="D58" s="347"/>
      <c r="E58" s="347"/>
      <c r="F58" s="347"/>
      <c r="G58" s="347"/>
      <c r="H58" s="347"/>
      <c r="I58" s="347"/>
      <c r="J58" s="347"/>
      <c r="K58" s="347"/>
      <c r="L58" s="347"/>
      <c r="M58" s="347"/>
      <c r="N58" s="347"/>
      <c r="O58" s="347"/>
      <c r="P58" s="312"/>
      <c r="Q58" s="312"/>
    </row>
    <row r="59" spans="1:31" ht="21" customHeight="1" x14ac:dyDescent="0.4">
      <c r="B59" s="7" t="s">
        <v>1798</v>
      </c>
      <c r="C59" s="30" t="s">
        <v>1782</v>
      </c>
      <c r="D59" s="76" t="str">
        <f>Schlüssel!$C$1</f>
        <v>Landesliga Nord Frauen</v>
      </c>
      <c r="F59" s="25"/>
      <c r="G59" s="25"/>
      <c r="H59" s="25"/>
      <c r="I59" s="25"/>
      <c r="K59" s="29"/>
      <c r="L59" s="362" t="str">
        <f>Schlüssel!$BU$1</f>
        <v>16.03.</v>
      </c>
      <c r="M59" s="362"/>
      <c r="N59" s="362"/>
      <c r="O59" s="362"/>
      <c r="P59" s="362"/>
      <c r="AE59" s="90"/>
    </row>
    <row r="60" spans="1:31" ht="17.25" customHeight="1" thickBot="1" x14ac:dyDescent="0.35">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5">
      <c r="B63" s="40" t="s">
        <v>1</v>
      </c>
      <c r="C63" s="41"/>
      <c r="D63" s="363" t="s">
        <v>1789</v>
      </c>
      <c r="E63" s="364"/>
      <c r="F63" s="363" t="s">
        <v>1790</v>
      </c>
      <c r="G63" s="364"/>
      <c r="H63" s="363" t="s">
        <v>1791</v>
      </c>
      <c r="I63" s="364"/>
      <c r="J63" s="363" t="s">
        <v>1792</v>
      </c>
      <c r="K63" s="364"/>
      <c r="L63" s="363" t="s">
        <v>1793</v>
      </c>
      <c r="M63" s="364"/>
      <c r="N63" s="363" t="s">
        <v>2088</v>
      </c>
      <c r="O63" s="364"/>
      <c r="P63" s="365" t="s">
        <v>1788</v>
      </c>
      <c r="Q63" s="36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9" t="s">
        <v>0</v>
      </c>
      <c r="B65" s="17"/>
      <c r="C65" s="18"/>
      <c r="D65" s="14"/>
      <c r="E65" s="356"/>
      <c r="F65" s="14"/>
      <c r="G65" s="356"/>
      <c r="H65" s="14"/>
      <c r="I65" s="356"/>
      <c r="J65" s="14"/>
      <c r="K65" s="356"/>
      <c r="L65" s="14"/>
      <c r="M65" s="356"/>
      <c r="N65" s="14"/>
      <c r="O65" s="356"/>
      <c r="P65" s="14"/>
      <c r="Q65" s="356"/>
    </row>
    <row r="66" spans="1:17" ht="17.100000000000001" customHeight="1" x14ac:dyDescent="0.25">
      <c r="A66" s="360"/>
      <c r="B66" s="19"/>
      <c r="C66" s="20"/>
      <c r="D66" s="15"/>
      <c r="E66" s="357"/>
      <c r="F66" s="15"/>
      <c r="G66" s="357"/>
      <c r="H66" s="15"/>
      <c r="I66" s="357"/>
      <c r="J66" s="15"/>
      <c r="K66" s="357"/>
      <c r="L66" s="15"/>
      <c r="M66" s="357"/>
      <c r="N66" s="15"/>
      <c r="O66" s="357"/>
      <c r="P66" s="15"/>
      <c r="Q66" s="357"/>
    </row>
    <row r="67" spans="1:17" ht="17.100000000000001" customHeight="1" thickBot="1" x14ac:dyDescent="0.3">
      <c r="A67" s="361"/>
      <c r="B67" s="21"/>
      <c r="C67" s="22"/>
      <c r="D67" s="9"/>
      <c r="E67" s="358"/>
      <c r="F67" s="9"/>
      <c r="G67" s="358"/>
      <c r="H67" s="9"/>
      <c r="I67" s="358"/>
      <c r="J67" s="9"/>
      <c r="K67" s="358"/>
      <c r="L67" s="9"/>
      <c r="M67" s="358"/>
      <c r="N67" s="9"/>
      <c r="O67" s="358"/>
      <c r="P67" s="9"/>
      <c r="Q67" s="358"/>
    </row>
    <row r="68" spans="1:17" ht="17.100000000000001" customHeight="1" x14ac:dyDescent="0.25">
      <c r="A68" s="359" t="s">
        <v>2</v>
      </c>
      <c r="B68" s="17"/>
      <c r="C68" s="18"/>
      <c r="D68" s="14"/>
      <c r="E68" s="356"/>
      <c r="F68" s="14"/>
      <c r="G68" s="356"/>
      <c r="H68" s="14"/>
      <c r="I68" s="356"/>
      <c r="J68" s="14"/>
      <c r="K68" s="356"/>
      <c r="L68" s="14"/>
      <c r="M68" s="356"/>
      <c r="N68" s="14"/>
      <c r="O68" s="356"/>
      <c r="P68" s="14"/>
      <c r="Q68" s="356"/>
    </row>
    <row r="69" spans="1:17" ht="17.100000000000001" customHeight="1" x14ac:dyDescent="0.25">
      <c r="A69" s="360"/>
      <c r="B69" s="19"/>
      <c r="C69" s="20"/>
      <c r="D69" s="15"/>
      <c r="E69" s="357"/>
      <c r="F69" s="15"/>
      <c r="G69" s="357"/>
      <c r="H69" s="15"/>
      <c r="I69" s="357"/>
      <c r="J69" s="15"/>
      <c r="K69" s="357"/>
      <c r="L69" s="15"/>
      <c r="M69" s="357"/>
      <c r="N69" s="15"/>
      <c r="O69" s="357"/>
      <c r="P69" s="15"/>
      <c r="Q69" s="357"/>
    </row>
    <row r="70" spans="1:17" ht="17.100000000000001" customHeight="1" thickBot="1" x14ac:dyDescent="0.3">
      <c r="A70" s="361"/>
      <c r="B70" s="21"/>
      <c r="C70" s="22"/>
      <c r="D70" s="9"/>
      <c r="E70" s="358"/>
      <c r="F70" s="9"/>
      <c r="G70" s="358"/>
      <c r="H70" s="9"/>
      <c r="I70" s="358"/>
      <c r="J70" s="9"/>
      <c r="K70" s="358"/>
      <c r="L70" s="9"/>
      <c r="M70" s="358"/>
      <c r="N70" s="9"/>
      <c r="O70" s="358"/>
      <c r="P70" s="9"/>
      <c r="Q70" s="358"/>
    </row>
    <row r="71" spans="1:17" ht="17.100000000000001" customHeight="1" x14ac:dyDescent="0.25">
      <c r="A71" s="359" t="s">
        <v>3</v>
      </c>
      <c r="B71" s="17"/>
      <c r="C71" s="18"/>
      <c r="D71" s="14"/>
      <c r="E71" s="356"/>
      <c r="F71" s="14"/>
      <c r="G71" s="356"/>
      <c r="H71" s="14"/>
      <c r="I71" s="356"/>
      <c r="J71" s="14"/>
      <c r="K71" s="356"/>
      <c r="L71" s="14"/>
      <c r="M71" s="356"/>
      <c r="N71" s="14"/>
      <c r="O71" s="356"/>
      <c r="P71" s="14"/>
      <c r="Q71" s="356"/>
    </row>
    <row r="72" spans="1:17" ht="17.100000000000001" customHeight="1" x14ac:dyDescent="0.25">
      <c r="A72" s="360"/>
      <c r="B72" s="19"/>
      <c r="C72" s="20"/>
      <c r="D72" s="15"/>
      <c r="E72" s="357"/>
      <c r="F72" s="15"/>
      <c r="G72" s="357"/>
      <c r="H72" s="15"/>
      <c r="I72" s="357"/>
      <c r="J72" s="15"/>
      <c r="K72" s="357"/>
      <c r="L72" s="15"/>
      <c r="M72" s="357"/>
      <c r="N72" s="15"/>
      <c r="O72" s="357"/>
      <c r="P72" s="15"/>
      <c r="Q72" s="357"/>
    </row>
    <row r="73" spans="1:17" ht="17.100000000000001" customHeight="1" thickBot="1" x14ac:dyDescent="0.3">
      <c r="A73" s="361"/>
      <c r="B73" s="21"/>
      <c r="C73" s="22"/>
      <c r="D73" s="9"/>
      <c r="E73" s="358"/>
      <c r="F73" s="9"/>
      <c r="G73" s="358"/>
      <c r="H73" s="9"/>
      <c r="I73" s="358"/>
      <c r="J73" s="9"/>
      <c r="K73" s="358"/>
      <c r="L73" s="9"/>
      <c r="M73" s="358"/>
      <c r="N73" s="9"/>
      <c r="O73" s="358"/>
      <c r="P73" s="9"/>
      <c r="Q73" s="358"/>
    </row>
    <row r="74" spans="1:17" ht="17.100000000000001" customHeight="1" x14ac:dyDescent="0.25">
      <c r="A74" s="359" t="s">
        <v>11</v>
      </c>
      <c r="B74" s="17"/>
      <c r="C74" s="18"/>
      <c r="D74" s="14"/>
      <c r="E74" s="356"/>
      <c r="F74" s="14"/>
      <c r="G74" s="356"/>
      <c r="H74" s="14"/>
      <c r="I74" s="356"/>
      <c r="J74" s="14"/>
      <c r="K74" s="356"/>
      <c r="L74" s="14"/>
      <c r="M74" s="356"/>
      <c r="N74" s="14"/>
      <c r="O74" s="356"/>
      <c r="P74" s="14"/>
      <c r="Q74" s="356"/>
    </row>
    <row r="75" spans="1:17" ht="17.100000000000001" customHeight="1" x14ac:dyDescent="0.25">
      <c r="A75" s="360"/>
      <c r="B75" s="19"/>
      <c r="C75" s="20"/>
      <c r="D75" s="15"/>
      <c r="E75" s="357"/>
      <c r="F75" s="15"/>
      <c r="G75" s="357"/>
      <c r="H75" s="15"/>
      <c r="I75" s="357"/>
      <c r="J75" s="15"/>
      <c r="K75" s="357"/>
      <c r="L75" s="15"/>
      <c r="M75" s="357"/>
      <c r="N75" s="15"/>
      <c r="O75" s="357"/>
      <c r="P75" s="15"/>
      <c r="Q75" s="357"/>
    </row>
    <row r="76" spans="1:17" ht="17.100000000000001" customHeight="1" thickBot="1" x14ac:dyDescent="0.3">
      <c r="A76" s="361"/>
      <c r="B76" s="21"/>
      <c r="C76" s="22"/>
      <c r="D76" s="9"/>
      <c r="E76" s="358"/>
      <c r="F76" s="9"/>
      <c r="G76" s="358"/>
      <c r="H76" s="9"/>
      <c r="I76" s="358"/>
      <c r="J76" s="9"/>
      <c r="K76" s="358"/>
      <c r="L76" s="9"/>
      <c r="M76" s="358"/>
      <c r="N76" s="9"/>
      <c r="O76" s="358"/>
      <c r="P76" s="9"/>
      <c r="Q76" s="358"/>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4">
        <f>VLOOKUP(B60,Schlüssel!$A$5:$DF$10,63)</f>
        <v>0</v>
      </c>
      <c r="E80" s="354"/>
      <c r="F80" s="354">
        <f>VLOOKUP(B60,Schlüssel!$A$5:$DF$10,64)</f>
        <v>0</v>
      </c>
      <c r="G80" s="354"/>
      <c r="H80" s="354">
        <f>VLOOKUP(B60,Schlüssel!$A$5:$DF$10,65)</f>
        <v>0</v>
      </c>
      <c r="I80" s="354"/>
      <c r="J80" s="354">
        <f>VLOOKUP(B60,Schlüssel!$A$5:$DF$10,66)</f>
        <v>0</v>
      </c>
      <c r="K80" s="354"/>
      <c r="L80" s="354">
        <f>VLOOKUP(B60,Schlüssel!$A$5:$DF$10,67)</f>
        <v>0</v>
      </c>
      <c r="M80" s="354"/>
      <c r="N80" s="354">
        <f>VLOOKUP(B60,Schlüssel!$A$5:$DF$10,68)</f>
        <v>0</v>
      </c>
      <c r="O80" s="354"/>
      <c r="P80" s="355"/>
      <c r="Q80" s="355"/>
    </row>
    <row r="81" spans="1:31" ht="28.5" customHeight="1" x14ac:dyDescent="0.25">
      <c r="B81" s="4"/>
      <c r="C81" s="1"/>
      <c r="D81" s="351" t="e">
        <f>VLOOKUP(D80,Schlüssel!$A$5:$K$10,2)</f>
        <v>#N/A</v>
      </c>
      <c r="E81" s="352"/>
      <c r="F81" s="351" t="e">
        <f>VLOOKUP(F80,Schlüssel!$A$5:$K$10,2)</f>
        <v>#N/A</v>
      </c>
      <c r="G81" s="352"/>
      <c r="H81" s="351" t="e">
        <f>VLOOKUP(H80,Schlüssel!$A$5:$K$10,2)</f>
        <v>#N/A</v>
      </c>
      <c r="I81" s="352"/>
      <c r="J81" s="351" t="e">
        <f>VLOOKUP(J80,Schlüssel!$A$5:$K$10,2)</f>
        <v>#N/A</v>
      </c>
      <c r="K81" s="352"/>
      <c r="L81" s="351" t="e">
        <f>VLOOKUP(L80,Schlüssel!$A$5:$K$10,2)</f>
        <v>#N/A</v>
      </c>
      <c r="M81" s="352"/>
      <c r="N81" s="351" t="e">
        <f>VLOOKUP(N80,Schlüssel!$A$5:$K$10,2)</f>
        <v>#N/A</v>
      </c>
      <c r="O81" s="352"/>
      <c r="P81" s="353"/>
      <c r="Q81" s="353"/>
    </row>
    <row r="82" spans="1:31" ht="12" customHeight="1" x14ac:dyDescent="0.25">
      <c r="B82" s="4"/>
      <c r="C82" s="1"/>
      <c r="D82" s="350"/>
      <c r="E82" s="350"/>
      <c r="F82" s="350"/>
      <c r="G82" s="350"/>
      <c r="H82" s="350"/>
      <c r="I82" s="350"/>
      <c r="J82" s="350"/>
      <c r="K82" s="350"/>
      <c r="L82" s="350"/>
      <c r="M82" s="350"/>
      <c r="N82" s="350"/>
      <c r="O82" s="350"/>
      <c r="P82" s="307"/>
      <c r="Q82" s="307"/>
    </row>
    <row r="83" spans="1:31" ht="15.9" customHeight="1" x14ac:dyDescent="0.25">
      <c r="B83" s="35" t="s">
        <v>0</v>
      </c>
      <c r="C83" s="36"/>
      <c r="D83" s="348"/>
      <c r="E83" s="348"/>
      <c r="F83" s="348"/>
      <c r="G83" s="348"/>
      <c r="H83" s="348"/>
      <c r="I83" s="348"/>
      <c r="J83" s="348"/>
      <c r="K83" s="348"/>
      <c r="L83" s="348"/>
      <c r="M83" s="348"/>
      <c r="N83" s="348"/>
      <c r="O83" s="348"/>
      <c r="P83" s="349"/>
      <c r="Q83" s="349"/>
    </row>
    <row r="84" spans="1:31" ht="15.9" customHeight="1" x14ac:dyDescent="0.25">
      <c r="B84" s="35" t="s">
        <v>2</v>
      </c>
      <c r="C84" s="36"/>
      <c r="D84" s="348"/>
      <c r="E84" s="348"/>
      <c r="F84" s="348"/>
      <c r="G84" s="348"/>
      <c r="H84" s="348"/>
      <c r="I84" s="348"/>
      <c r="J84" s="348"/>
      <c r="K84" s="348"/>
      <c r="L84" s="348"/>
      <c r="M84" s="348"/>
      <c r="N84" s="348"/>
      <c r="O84" s="348"/>
      <c r="P84" s="349"/>
      <c r="Q84" s="349"/>
    </row>
    <row r="85" spans="1:31" ht="15.9" customHeight="1" x14ac:dyDescent="0.25">
      <c r="B85" s="35" t="s">
        <v>3</v>
      </c>
      <c r="C85" s="36"/>
      <c r="D85" s="348"/>
      <c r="E85" s="348"/>
      <c r="F85" s="348"/>
      <c r="G85" s="348"/>
      <c r="H85" s="348"/>
      <c r="I85" s="348"/>
      <c r="J85" s="348"/>
      <c r="K85" s="348"/>
      <c r="L85" s="348"/>
      <c r="M85" s="348"/>
      <c r="N85" s="348"/>
      <c r="O85" s="348"/>
      <c r="P85" s="349"/>
      <c r="Q85" s="349"/>
    </row>
    <row r="86" spans="1:31" ht="15.9" customHeight="1" x14ac:dyDescent="0.25">
      <c r="B86" s="35" t="s">
        <v>11</v>
      </c>
      <c r="C86" s="36"/>
      <c r="D86" s="348"/>
      <c r="E86" s="348"/>
      <c r="F86" s="348"/>
      <c r="G86" s="348"/>
      <c r="H86" s="348"/>
      <c r="I86" s="348"/>
      <c r="J86" s="348"/>
      <c r="K86" s="348"/>
      <c r="L86" s="348"/>
      <c r="M86" s="348"/>
      <c r="N86" s="348"/>
      <c r="O86" s="348"/>
      <c r="P86" s="349"/>
      <c r="Q86" s="349"/>
    </row>
    <row r="87" spans="1:31" ht="15.9" customHeight="1" x14ac:dyDescent="0.25">
      <c r="B87" s="37" t="s">
        <v>1788</v>
      </c>
      <c r="C87" s="38"/>
      <c r="D87" s="347"/>
      <c r="E87" s="347"/>
      <c r="F87" s="347"/>
      <c r="G87" s="347"/>
      <c r="H87" s="347"/>
      <c r="I87" s="347"/>
      <c r="J87" s="347"/>
      <c r="K87" s="347"/>
      <c r="L87" s="347"/>
      <c r="M87" s="347"/>
      <c r="N87" s="347"/>
      <c r="O87" s="347"/>
      <c r="P87" s="312"/>
      <c r="Q87" s="312"/>
    </row>
    <row r="88" spans="1:31" ht="21" customHeight="1" x14ac:dyDescent="0.4">
      <c r="B88" s="7" t="s">
        <v>1798</v>
      </c>
      <c r="C88" s="30" t="s">
        <v>1782</v>
      </c>
      <c r="D88" s="76" t="str">
        <f>Schlüssel!$C$1</f>
        <v>Landesliga Nord Frauen</v>
      </c>
      <c r="F88" s="25"/>
      <c r="G88" s="25"/>
      <c r="H88" s="25"/>
      <c r="I88" s="25"/>
      <c r="K88" s="29"/>
      <c r="L88" s="362" t="str">
        <f>Schlüssel!$BU$1</f>
        <v>16.03.</v>
      </c>
      <c r="M88" s="362"/>
      <c r="N88" s="362"/>
      <c r="O88" s="362"/>
      <c r="P88" s="362"/>
      <c r="AE88" s="90"/>
    </row>
    <row r="89" spans="1:31" ht="17.25" customHeight="1" thickBot="1" x14ac:dyDescent="0.35">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3">
      <c r="B90" s="32" t="str">
        <f>VLOOKUP(B89,Schlüssel!$A$5:$B$10,2)</f>
        <v>Mainauenbowler Bayreuth Land</v>
      </c>
      <c r="C90" s="31"/>
      <c r="D90" s="42"/>
      <c r="E90" s="46"/>
      <c r="F90" s="48"/>
      <c r="G90" s="27"/>
      <c r="H90" s="27"/>
      <c r="I90" s="27"/>
      <c r="J90" s="27"/>
      <c r="K90" s="27"/>
      <c r="L90" s="27"/>
      <c r="M90" s="27"/>
    </row>
    <row r="91" spans="1:31" ht="13.8" thickBot="1" x14ac:dyDescent="0.3">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5">
      <c r="B92" s="40" t="s">
        <v>1</v>
      </c>
      <c r="C92" s="41"/>
      <c r="D92" s="363" t="s">
        <v>1789</v>
      </c>
      <c r="E92" s="364"/>
      <c r="F92" s="363" t="s">
        <v>1790</v>
      </c>
      <c r="G92" s="364"/>
      <c r="H92" s="363" t="s">
        <v>1791</v>
      </c>
      <c r="I92" s="364"/>
      <c r="J92" s="363" t="s">
        <v>1792</v>
      </c>
      <c r="K92" s="364"/>
      <c r="L92" s="363" t="s">
        <v>1793</v>
      </c>
      <c r="M92" s="364"/>
      <c r="N92" s="363" t="s">
        <v>2088</v>
      </c>
      <c r="O92" s="364"/>
      <c r="P92" s="365" t="s">
        <v>1788</v>
      </c>
      <c r="Q92" s="366"/>
    </row>
    <row r="93" spans="1:31" ht="15" customHeight="1" thickBot="1" x14ac:dyDescent="0.3">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5">
      <c r="A94" s="359" t="s">
        <v>0</v>
      </c>
      <c r="B94" s="17"/>
      <c r="C94" s="18"/>
      <c r="D94" s="14"/>
      <c r="E94" s="356"/>
      <c r="F94" s="14"/>
      <c r="G94" s="356"/>
      <c r="H94" s="14"/>
      <c r="I94" s="356"/>
      <c r="J94" s="14"/>
      <c r="K94" s="356"/>
      <c r="L94" s="14"/>
      <c r="M94" s="356"/>
      <c r="N94" s="14"/>
      <c r="O94" s="356"/>
      <c r="P94" s="14"/>
      <c r="Q94" s="356"/>
    </row>
    <row r="95" spans="1:31" ht="17.100000000000001" customHeight="1" x14ac:dyDescent="0.25">
      <c r="A95" s="360"/>
      <c r="B95" s="19"/>
      <c r="C95" s="20"/>
      <c r="D95" s="15"/>
      <c r="E95" s="357"/>
      <c r="F95" s="15"/>
      <c r="G95" s="357"/>
      <c r="H95" s="15"/>
      <c r="I95" s="357"/>
      <c r="J95" s="15"/>
      <c r="K95" s="357"/>
      <c r="L95" s="15"/>
      <c r="M95" s="357"/>
      <c r="N95" s="15"/>
      <c r="O95" s="357"/>
      <c r="P95" s="15"/>
      <c r="Q95" s="357"/>
    </row>
    <row r="96" spans="1:31" ht="17.100000000000001" customHeight="1" thickBot="1" x14ac:dyDescent="0.3">
      <c r="A96" s="361"/>
      <c r="B96" s="21"/>
      <c r="C96" s="22"/>
      <c r="D96" s="9"/>
      <c r="E96" s="358"/>
      <c r="F96" s="9"/>
      <c r="G96" s="358"/>
      <c r="H96" s="9"/>
      <c r="I96" s="358"/>
      <c r="J96" s="9"/>
      <c r="K96" s="358"/>
      <c r="L96" s="9"/>
      <c r="M96" s="358"/>
      <c r="N96" s="9"/>
      <c r="O96" s="358"/>
      <c r="P96" s="9"/>
      <c r="Q96" s="358"/>
    </row>
    <row r="97" spans="1:17" ht="17.100000000000001" customHeight="1" x14ac:dyDescent="0.25">
      <c r="A97" s="359" t="s">
        <v>2</v>
      </c>
      <c r="B97" s="17"/>
      <c r="C97" s="18"/>
      <c r="D97" s="14"/>
      <c r="E97" s="356"/>
      <c r="F97" s="14"/>
      <c r="G97" s="356"/>
      <c r="H97" s="14"/>
      <c r="I97" s="356"/>
      <c r="J97" s="14"/>
      <c r="K97" s="356"/>
      <c r="L97" s="14"/>
      <c r="M97" s="356"/>
      <c r="N97" s="14"/>
      <c r="O97" s="356"/>
      <c r="P97" s="14"/>
      <c r="Q97" s="356"/>
    </row>
    <row r="98" spans="1:17" ht="17.100000000000001" customHeight="1" x14ac:dyDescent="0.25">
      <c r="A98" s="360"/>
      <c r="B98" s="19"/>
      <c r="C98" s="20"/>
      <c r="D98" s="15"/>
      <c r="E98" s="357"/>
      <c r="F98" s="15"/>
      <c r="G98" s="357"/>
      <c r="H98" s="15"/>
      <c r="I98" s="357"/>
      <c r="J98" s="15"/>
      <c r="K98" s="357"/>
      <c r="L98" s="15"/>
      <c r="M98" s="357"/>
      <c r="N98" s="15"/>
      <c r="O98" s="357"/>
      <c r="P98" s="15"/>
      <c r="Q98" s="357"/>
    </row>
    <row r="99" spans="1:17" ht="17.100000000000001" customHeight="1" thickBot="1" x14ac:dyDescent="0.3">
      <c r="A99" s="361"/>
      <c r="B99" s="21"/>
      <c r="C99" s="22"/>
      <c r="D99" s="9"/>
      <c r="E99" s="358"/>
      <c r="F99" s="9"/>
      <c r="G99" s="358"/>
      <c r="H99" s="9"/>
      <c r="I99" s="358"/>
      <c r="J99" s="9"/>
      <c r="K99" s="358"/>
      <c r="L99" s="9"/>
      <c r="M99" s="358"/>
      <c r="N99" s="9"/>
      <c r="O99" s="358"/>
      <c r="P99" s="9"/>
      <c r="Q99" s="358"/>
    </row>
    <row r="100" spans="1:17" ht="17.100000000000001" customHeight="1" x14ac:dyDescent="0.25">
      <c r="A100" s="359" t="s">
        <v>3</v>
      </c>
      <c r="B100" s="17"/>
      <c r="C100" s="18"/>
      <c r="D100" s="14"/>
      <c r="E100" s="356"/>
      <c r="F100" s="14"/>
      <c r="G100" s="356"/>
      <c r="H100" s="14"/>
      <c r="I100" s="356"/>
      <c r="J100" s="14"/>
      <c r="K100" s="356"/>
      <c r="L100" s="14"/>
      <c r="M100" s="356"/>
      <c r="N100" s="14"/>
      <c r="O100" s="356"/>
      <c r="P100" s="14"/>
      <c r="Q100" s="356"/>
    </row>
    <row r="101" spans="1:17" ht="17.100000000000001" customHeight="1" x14ac:dyDescent="0.25">
      <c r="A101" s="360"/>
      <c r="B101" s="19"/>
      <c r="C101" s="20"/>
      <c r="D101" s="15"/>
      <c r="E101" s="357"/>
      <c r="F101" s="15"/>
      <c r="G101" s="357"/>
      <c r="H101" s="15"/>
      <c r="I101" s="357"/>
      <c r="J101" s="15"/>
      <c r="K101" s="357"/>
      <c r="L101" s="15"/>
      <c r="M101" s="357"/>
      <c r="N101" s="15"/>
      <c r="O101" s="357"/>
      <c r="P101" s="15"/>
      <c r="Q101" s="357"/>
    </row>
    <row r="102" spans="1:17" ht="17.100000000000001" customHeight="1" thickBot="1" x14ac:dyDescent="0.3">
      <c r="A102" s="361"/>
      <c r="B102" s="21"/>
      <c r="C102" s="22"/>
      <c r="D102" s="9"/>
      <c r="E102" s="358"/>
      <c r="F102" s="9"/>
      <c r="G102" s="358"/>
      <c r="H102" s="9"/>
      <c r="I102" s="358"/>
      <c r="J102" s="9"/>
      <c r="K102" s="358"/>
      <c r="L102" s="9"/>
      <c r="M102" s="358"/>
      <c r="N102" s="9"/>
      <c r="O102" s="358"/>
      <c r="P102" s="9"/>
      <c r="Q102" s="358"/>
    </row>
    <row r="103" spans="1:17" ht="17.100000000000001" customHeight="1" x14ac:dyDescent="0.25">
      <c r="A103" s="359" t="s">
        <v>11</v>
      </c>
      <c r="B103" s="17"/>
      <c r="C103" s="18"/>
      <c r="D103" s="14"/>
      <c r="E103" s="356"/>
      <c r="F103" s="14"/>
      <c r="G103" s="356"/>
      <c r="H103" s="14"/>
      <c r="I103" s="356"/>
      <c r="J103" s="14"/>
      <c r="K103" s="356"/>
      <c r="L103" s="14"/>
      <c r="M103" s="356"/>
      <c r="N103" s="14"/>
      <c r="O103" s="356"/>
      <c r="P103" s="14"/>
      <c r="Q103" s="356"/>
    </row>
    <row r="104" spans="1:17" ht="17.100000000000001" customHeight="1" x14ac:dyDescent="0.25">
      <c r="A104" s="360"/>
      <c r="B104" s="19"/>
      <c r="C104" s="20"/>
      <c r="D104" s="15"/>
      <c r="E104" s="357"/>
      <c r="F104" s="15"/>
      <c r="G104" s="357"/>
      <c r="H104" s="15"/>
      <c r="I104" s="357"/>
      <c r="J104" s="15"/>
      <c r="K104" s="357"/>
      <c r="L104" s="15"/>
      <c r="M104" s="357"/>
      <c r="N104" s="15"/>
      <c r="O104" s="357"/>
      <c r="P104" s="15"/>
      <c r="Q104" s="357"/>
    </row>
    <row r="105" spans="1:17" ht="17.100000000000001" customHeight="1" thickBot="1" x14ac:dyDescent="0.3">
      <c r="A105" s="361"/>
      <c r="B105" s="21"/>
      <c r="C105" s="22"/>
      <c r="D105" s="9"/>
      <c r="E105" s="358"/>
      <c r="F105" s="9"/>
      <c r="G105" s="358"/>
      <c r="H105" s="9"/>
      <c r="I105" s="358"/>
      <c r="J105" s="9"/>
      <c r="K105" s="358"/>
      <c r="L105" s="9"/>
      <c r="M105" s="358"/>
      <c r="N105" s="9"/>
      <c r="O105" s="358"/>
      <c r="P105" s="9"/>
      <c r="Q105" s="358"/>
    </row>
    <row r="106" spans="1:17" ht="27.75" customHeight="1" thickBot="1" x14ac:dyDescent="0.3">
      <c r="B106" s="11"/>
      <c r="C106" s="26"/>
      <c r="D106" s="16"/>
      <c r="E106" s="12"/>
      <c r="F106" s="16"/>
      <c r="G106" s="12"/>
      <c r="H106" s="16"/>
      <c r="I106" s="12"/>
      <c r="J106" s="16"/>
      <c r="K106" s="12"/>
      <c r="L106" s="16"/>
      <c r="M106" s="12"/>
      <c r="N106" s="16"/>
      <c r="O106" s="12"/>
      <c r="P106" s="16"/>
      <c r="Q106" s="12"/>
    </row>
    <row r="107" spans="1:17" ht="24" customHeight="1" thickBot="1" x14ac:dyDescent="0.3">
      <c r="B107" s="8"/>
      <c r="C107" s="1"/>
      <c r="D107" s="1"/>
      <c r="E107" s="23"/>
      <c r="F107" s="1"/>
      <c r="G107" s="23"/>
      <c r="H107" s="1"/>
      <c r="I107" s="23"/>
      <c r="J107" s="1"/>
      <c r="K107" s="23"/>
      <c r="L107" s="1"/>
      <c r="M107" s="23"/>
      <c r="N107" s="1"/>
      <c r="O107" s="23"/>
      <c r="P107" s="1"/>
      <c r="Q107" s="23"/>
    </row>
    <row r="108" spans="1:17" ht="11.25" customHeight="1" x14ac:dyDescent="0.25">
      <c r="B108" s="1"/>
      <c r="C108" s="1"/>
      <c r="D108" s="1"/>
      <c r="E108" s="2"/>
      <c r="F108" s="1"/>
      <c r="G108" s="2"/>
      <c r="H108" s="1"/>
      <c r="I108" s="2"/>
      <c r="J108" s="1"/>
      <c r="K108" s="2"/>
      <c r="L108" s="1"/>
      <c r="M108" s="2"/>
      <c r="N108" s="1"/>
      <c r="O108" s="2"/>
      <c r="P108" s="1"/>
      <c r="Q108" s="2"/>
    </row>
    <row r="109" spans="1:17" ht="12.75" customHeight="1" x14ac:dyDescent="0.25">
      <c r="B109" s="13" t="s">
        <v>1786</v>
      </c>
      <c r="C109" s="5" t="s">
        <v>1787</v>
      </c>
      <c r="D109" s="354">
        <f>VLOOKUP(B89,Schlüssel!$A$5:$DF$10,63)</f>
        <v>0</v>
      </c>
      <c r="E109" s="354"/>
      <c r="F109" s="354">
        <f>VLOOKUP(B89,Schlüssel!$A$5:$DF$10,64)</f>
        <v>0</v>
      </c>
      <c r="G109" s="354"/>
      <c r="H109" s="354">
        <f>VLOOKUP(B89,Schlüssel!$A$5:$DF$10,65)</f>
        <v>0</v>
      </c>
      <c r="I109" s="354"/>
      <c r="J109" s="354">
        <f>VLOOKUP(B89,Schlüssel!$A$5:$DF$10,66)</f>
        <v>0</v>
      </c>
      <c r="K109" s="354"/>
      <c r="L109" s="354">
        <f>VLOOKUP(B89,Schlüssel!$A$5:$DF$10,67)</f>
        <v>0</v>
      </c>
      <c r="M109" s="354"/>
      <c r="N109" s="354">
        <f>VLOOKUP(B89,Schlüssel!$A$5:$DF$10,68)</f>
        <v>0</v>
      </c>
      <c r="O109" s="354"/>
      <c r="P109" s="355"/>
      <c r="Q109" s="355"/>
    </row>
    <row r="110" spans="1:17" ht="28.5" customHeight="1" x14ac:dyDescent="0.25">
      <c r="B110" s="4"/>
      <c r="C110" s="1"/>
      <c r="D110" s="351" t="e">
        <f>VLOOKUP(D109,Schlüssel!$A$5:$K$10,2)</f>
        <v>#N/A</v>
      </c>
      <c r="E110" s="352"/>
      <c r="F110" s="351" t="e">
        <f>VLOOKUP(F109,Schlüssel!$A$5:$K$10,2)</f>
        <v>#N/A</v>
      </c>
      <c r="G110" s="352"/>
      <c r="H110" s="351" t="e">
        <f>VLOOKUP(H109,Schlüssel!$A$5:$K$10,2)</f>
        <v>#N/A</v>
      </c>
      <c r="I110" s="352"/>
      <c r="J110" s="351" t="e">
        <f>VLOOKUP(J109,Schlüssel!$A$5:$K$10,2)</f>
        <v>#N/A</v>
      </c>
      <c r="K110" s="352"/>
      <c r="L110" s="351" t="e">
        <f>VLOOKUP(L109,Schlüssel!$A$5:$K$10,2)</f>
        <v>#N/A</v>
      </c>
      <c r="M110" s="352"/>
      <c r="N110" s="351" t="e">
        <f>VLOOKUP(N109,Schlüssel!$A$5:$K$10,2)</f>
        <v>#N/A</v>
      </c>
      <c r="O110" s="352"/>
      <c r="P110" s="353"/>
      <c r="Q110" s="353"/>
    </row>
    <row r="111" spans="1:17" ht="12" customHeight="1" x14ac:dyDescent="0.25">
      <c r="B111" s="4"/>
      <c r="C111" s="1"/>
      <c r="D111" s="350"/>
      <c r="E111" s="350"/>
      <c r="F111" s="350"/>
      <c r="G111" s="350"/>
      <c r="H111" s="350"/>
      <c r="I111" s="350"/>
      <c r="J111" s="350"/>
      <c r="K111" s="350"/>
      <c r="L111" s="350"/>
      <c r="M111" s="350"/>
      <c r="N111" s="350"/>
      <c r="O111" s="350"/>
      <c r="P111" s="307"/>
      <c r="Q111" s="307"/>
    </row>
    <row r="112" spans="1:17" ht="15.9" customHeight="1" x14ac:dyDescent="0.25">
      <c r="B112" s="35" t="s">
        <v>0</v>
      </c>
      <c r="C112" s="36"/>
      <c r="D112" s="348"/>
      <c r="E112" s="348"/>
      <c r="F112" s="348"/>
      <c r="G112" s="348"/>
      <c r="H112" s="348"/>
      <c r="I112" s="348"/>
      <c r="J112" s="348"/>
      <c r="K112" s="348"/>
      <c r="L112" s="348"/>
      <c r="M112" s="348"/>
      <c r="N112" s="348"/>
      <c r="O112" s="348"/>
      <c r="P112" s="349"/>
      <c r="Q112" s="349"/>
    </row>
    <row r="113" spans="2:17" ht="15.9" customHeight="1" x14ac:dyDescent="0.25">
      <c r="B113" s="35" t="s">
        <v>2</v>
      </c>
      <c r="C113" s="36"/>
      <c r="D113" s="348"/>
      <c r="E113" s="348"/>
      <c r="F113" s="348"/>
      <c r="G113" s="348"/>
      <c r="H113" s="348"/>
      <c r="I113" s="348"/>
      <c r="J113" s="348"/>
      <c r="K113" s="348"/>
      <c r="L113" s="348"/>
      <c r="M113" s="348"/>
      <c r="N113" s="348"/>
      <c r="O113" s="348"/>
      <c r="P113" s="349"/>
      <c r="Q113" s="349"/>
    </row>
    <row r="114" spans="2:17" ht="15.9" customHeight="1" x14ac:dyDescent="0.25">
      <c r="B114" s="35" t="s">
        <v>3</v>
      </c>
      <c r="C114" s="36"/>
      <c r="D114" s="348"/>
      <c r="E114" s="348"/>
      <c r="F114" s="348"/>
      <c r="G114" s="348"/>
      <c r="H114" s="348"/>
      <c r="I114" s="348"/>
      <c r="J114" s="348"/>
      <c r="K114" s="348"/>
      <c r="L114" s="348"/>
      <c r="M114" s="348"/>
      <c r="N114" s="348"/>
      <c r="O114" s="348"/>
      <c r="P114" s="349"/>
      <c r="Q114" s="349"/>
    </row>
    <row r="115" spans="2:17" ht="15.9" customHeight="1" x14ac:dyDescent="0.25">
      <c r="B115" s="35" t="s">
        <v>11</v>
      </c>
      <c r="C115" s="36"/>
      <c r="D115" s="348"/>
      <c r="E115" s="348"/>
      <c r="F115" s="348"/>
      <c r="G115" s="348"/>
      <c r="H115" s="348"/>
      <c r="I115" s="348"/>
      <c r="J115" s="348"/>
      <c r="K115" s="348"/>
      <c r="L115" s="348"/>
      <c r="M115" s="348"/>
      <c r="N115" s="348"/>
      <c r="O115" s="348"/>
      <c r="P115" s="349"/>
      <c r="Q115" s="349"/>
    </row>
    <row r="116" spans="2:17" ht="15.9" customHeight="1" x14ac:dyDescent="0.25">
      <c r="B116" s="37" t="s">
        <v>1788</v>
      </c>
      <c r="C116" s="38"/>
      <c r="D116" s="347"/>
      <c r="E116" s="347"/>
      <c r="F116" s="347"/>
      <c r="G116" s="347"/>
      <c r="H116" s="347"/>
      <c r="I116" s="347"/>
      <c r="J116" s="347"/>
      <c r="K116" s="347"/>
      <c r="L116" s="347"/>
      <c r="M116" s="347"/>
      <c r="N116" s="347"/>
      <c r="O116" s="347"/>
      <c r="P116" s="312"/>
      <c r="Q116" s="312"/>
    </row>
  </sheetData>
  <sheetProtection password="D19C" sheet="1"/>
  <mergeCells count="384">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Z119"/>
  <sheetViews>
    <sheetView view="pageBreakPreview" topLeftCell="R19" zoomScaleNormal="100" zoomScaleSheetLayoutView="100" workbookViewId="0">
      <selection activeCell="AE48" sqref="AE48"/>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80" t="str">
        <f>Schlüssel!$BU$1</f>
        <v>16.03.</v>
      </c>
      <c r="N1" s="380"/>
      <c r="O1" s="380"/>
      <c r="P1" s="381"/>
      <c r="Q1" s="381"/>
      <c r="R1" s="381"/>
      <c r="S1" s="7" t="s">
        <v>1798</v>
      </c>
      <c r="T1" s="25"/>
      <c r="U1" s="30" t="s">
        <v>1782</v>
      </c>
      <c r="V1" s="76" t="str">
        <f>Schlüssel!$C$1</f>
        <v>Landesliga Nord Frauen</v>
      </c>
      <c r="X1" s="25"/>
      <c r="Y1" s="25"/>
      <c r="Z1" s="25"/>
      <c r="AA1" s="25"/>
      <c r="AC1" s="29"/>
      <c r="AD1" s="362" t="str">
        <f>Schlüssel!$BU$1</f>
        <v>16.03.</v>
      </c>
      <c r="AE1" s="362"/>
      <c r="AF1" s="362"/>
      <c r="AG1" s="362"/>
      <c r="AH1" s="362"/>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20</v>
      </c>
      <c r="W4" s="192" t="s">
        <v>10</v>
      </c>
      <c r="X4" s="190">
        <f>VLOOKUP(S2,Schlüssel!$A$5:$DF$10,74)</f>
        <v>19</v>
      </c>
      <c r="Y4" s="192" t="s">
        <v>10</v>
      </c>
      <c r="Z4" s="190">
        <f>VLOOKUP(S2,Schlüssel!$A$5:$DF$10,75)</f>
        <v>20</v>
      </c>
      <c r="AA4" s="192" t="s">
        <v>10</v>
      </c>
      <c r="AB4" s="190">
        <f>VLOOKUP(S2,Schlüssel!$A$5:$DF$10,76)</f>
        <v>19</v>
      </c>
      <c r="AC4" s="192" t="s">
        <v>10</v>
      </c>
      <c r="AD4" s="191">
        <f>VLOOKUP(S2,Schlüssel!$A$5:$DF$10,77)</f>
        <v>20</v>
      </c>
      <c r="AE4" s="192" t="s">
        <v>10</v>
      </c>
      <c r="AF4" s="191">
        <f>VLOOKUP(S2,Schlüssel!$A$5:$DF$10,78)</f>
        <v>19</v>
      </c>
      <c r="BA4" s="220"/>
      <c r="BB4" s="221"/>
      <c r="BC4" s="222"/>
      <c r="BN4" s="224"/>
      <c r="BO4" s="222"/>
      <c r="BS4" s="222"/>
      <c r="BT4" s="224"/>
      <c r="BW4" s="222"/>
    </row>
    <row r="5" spans="1:75" ht="20.25" customHeight="1" x14ac:dyDescent="0.25">
      <c r="B5" s="40" t="s">
        <v>1</v>
      </c>
      <c r="C5" s="41"/>
      <c r="D5" s="363" t="s">
        <v>1789</v>
      </c>
      <c r="E5" s="364"/>
      <c r="F5" s="363" t="s">
        <v>1790</v>
      </c>
      <c r="G5" s="364"/>
      <c r="H5" s="363" t="s">
        <v>1791</v>
      </c>
      <c r="I5" s="364"/>
      <c r="J5" s="363" t="s">
        <v>1792</v>
      </c>
      <c r="K5" s="364"/>
      <c r="L5" s="363" t="s">
        <v>1793</v>
      </c>
      <c r="M5" s="364"/>
      <c r="N5" s="365" t="s">
        <v>1788</v>
      </c>
      <c r="O5" s="366"/>
      <c r="S5" s="40" t="s">
        <v>1</v>
      </c>
      <c r="T5" s="41"/>
      <c r="U5" s="363" t="s">
        <v>1789</v>
      </c>
      <c r="V5" s="364"/>
      <c r="W5" s="363" t="s">
        <v>1790</v>
      </c>
      <c r="X5" s="364"/>
      <c r="Y5" s="363" t="s">
        <v>1791</v>
      </c>
      <c r="Z5" s="364"/>
      <c r="AA5" s="363" t="s">
        <v>1792</v>
      </c>
      <c r="AB5" s="364"/>
      <c r="AC5" s="363" t="s">
        <v>1793</v>
      </c>
      <c r="AD5" s="368"/>
      <c r="AE5" s="363" t="s">
        <v>2088</v>
      </c>
      <c r="AF5" s="368"/>
      <c r="AG5" s="367" t="s">
        <v>1788</v>
      </c>
      <c r="AH5" s="36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7" t="s">
        <v>0</v>
      </c>
      <c r="B7" s="17" t="str">
        <f>IF(S7=0,"",S7)</f>
        <v>Röde, Sigrid</v>
      </c>
      <c r="C7" s="18">
        <f>IF(T7=0,"",T7)</f>
        <v>38825</v>
      </c>
      <c r="D7" s="14">
        <f>IF(U7=0,"",U7)</f>
        <v>118</v>
      </c>
      <c r="E7" s="356">
        <f>IF(V7="","",V7)</f>
        <v>0</v>
      </c>
      <c r="F7" s="14">
        <f t="shared" ref="F7:F20" si="0">IF(W7=0,"",W7)</f>
        <v>134</v>
      </c>
      <c r="G7" s="356">
        <f>IF(X7="","",X7)</f>
        <v>1</v>
      </c>
      <c r="H7" s="14">
        <f t="shared" ref="H7:H20" si="1">IF(Y7=0,"",Y7)</f>
        <v>150</v>
      </c>
      <c r="I7" s="356">
        <f>IF(Z7="","",Z7)</f>
        <v>0</v>
      </c>
      <c r="J7" s="14">
        <f t="shared" ref="J7:J20" si="2">IF(AA7=0,"",AA7)</f>
        <v>141</v>
      </c>
      <c r="K7" s="356">
        <f>IF(AB7="","",AB7)</f>
        <v>0</v>
      </c>
      <c r="L7" s="14">
        <f t="shared" ref="L7:L20" si="3">IF(AC7=0,"",AC7)</f>
        <v>137</v>
      </c>
      <c r="M7" s="356">
        <f>IF(AD7="","",AD7)</f>
        <v>1</v>
      </c>
      <c r="N7" s="14">
        <f t="shared" ref="N7:N20" si="4">IF(AG7=0,"",AG7)</f>
        <v>809</v>
      </c>
      <c r="O7" s="356">
        <f>IF(AH7="","",AH7)</f>
        <v>2</v>
      </c>
      <c r="R7" s="359" t="s">
        <v>0</v>
      </c>
      <c r="S7" s="67" t="str">
        <f>IF(T7=0,"",VLOOKUP(T7,Starter!$A$1:$D$187,2,FALSE))</f>
        <v>Röde, Sigrid</v>
      </c>
      <c r="T7" s="174">
        <v>38825</v>
      </c>
      <c r="U7" s="182">
        <v>118</v>
      </c>
      <c r="V7" s="95">
        <f>IF(SUM(U7:U9)+U25=0,0,IF(ABS(SUM(U7:U9))=U25,0.5,IF(ABS(SUM(U7:U9))&gt;U25,1,0)))</f>
        <v>0</v>
      </c>
      <c r="W7" s="182">
        <v>134</v>
      </c>
      <c r="X7" s="95">
        <f>IF(SUM(W7:W9)+W25=0,0,IF(ABS(SUM(W7:W9))=W25,0.5,IF(ABS(SUM(W7:W9))&gt;W25,1,0)))</f>
        <v>1</v>
      </c>
      <c r="Y7" s="182">
        <v>150</v>
      </c>
      <c r="Z7" s="95">
        <f>IF(SUM(Y7:Y9)+Y25=0,0,IF(ABS(SUM(Y7:Y9))=Y25,0.5,IF(ABS(SUM(Y7:Y9))&gt;Y25,1,0)))</f>
        <v>0</v>
      </c>
      <c r="AA7" s="188">
        <v>141</v>
      </c>
      <c r="AB7" s="95">
        <f>IF(SUM(AA7:AA9)+AA25=0,0,IF(ABS(SUM(AA7:AA9))=AA25,0.5,IF(ABS(SUM(AA7:AA9))&gt;AA25,1,0)))</f>
        <v>0</v>
      </c>
      <c r="AC7" s="182">
        <v>137</v>
      </c>
      <c r="AD7" s="95">
        <f>IF(SUM(AC7:AC9)+AC25=0,0,IF(ABS(SUM(AC7:AC9))=AC25,0.5,IF(ABS(SUM(AC7:AC9))&gt;AC25,1,0)))</f>
        <v>1</v>
      </c>
      <c r="AE7" s="182">
        <v>129</v>
      </c>
      <c r="AF7" s="95">
        <f>IF(SUM(AE7:AE9)+AE25=0,0,IF(ABS(SUM(AE7:AE9))=AE25,0.5,IF(ABS(SUM(AE7:AE9))&gt;AE25,1,0)))</f>
        <v>0</v>
      </c>
      <c r="AG7" s="194">
        <f t="shared" ref="AG7:AG18" si="5">ABS(SUM(U7:U7))+ABS(SUM(W7:W7))+ABS(SUM(Y7:Y7))+ABS(SUM(AA7:AA7))+ABS(SUM(AC7:AC7))+ABS(SUM(AE7:AE7))</f>
        <v>809</v>
      </c>
      <c r="AH7" s="179">
        <f>SUM(V7+X7+Z7+AB7+AD7+AF7)</f>
        <v>2</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809</v>
      </c>
      <c r="BF7" s="223">
        <f t="shared" ref="BF7:BF18" si="8">COUNT(BH7:BM7)</f>
        <v>6</v>
      </c>
      <c r="BG7" s="223">
        <f t="shared" ref="BG7:BG18" si="9">COUNTIF(BH7:BM7,"&gt;0")</f>
        <v>6</v>
      </c>
      <c r="BH7" s="223">
        <f t="shared" ref="BH7:BH18" si="10">IF(U7=0,"",U7)</f>
        <v>118</v>
      </c>
      <c r="BI7" s="223">
        <f t="shared" ref="BI7:BI18" si="11">IF(W7=0,"",W7)</f>
        <v>134</v>
      </c>
      <c r="BJ7" s="223">
        <f t="shared" ref="BJ7:BJ18" si="12">IF(Y7=0,"",Y7)</f>
        <v>150</v>
      </c>
      <c r="BK7" s="223">
        <f t="shared" ref="BK7:BK18" si="13">IF(AA7=0,"",AA7)</f>
        <v>141</v>
      </c>
      <c r="BL7" s="223">
        <f t="shared" ref="BL7:BL18" si="14">IF(AC7=0,"",AC7)</f>
        <v>137</v>
      </c>
      <c r="BM7" s="223">
        <f t="shared" ref="BM7:BM18" si="15">IF(AE7=0,"",AE7)</f>
        <v>129</v>
      </c>
      <c r="BN7" s="224"/>
      <c r="BO7" s="222"/>
      <c r="BP7" s="223">
        <f t="shared" ref="BP7:BP18" si="16">MAX(BH7:BM7)</f>
        <v>150</v>
      </c>
      <c r="BQ7" s="223">
        <f t="shared" ref="BQ7:BQ18" si="17">IF(BP7&lt;MAX(BP:BP),0,BP7+ROW()/1000000000)</f>
        <v>0</v>
      </c>
      <c r="BR7" s="223" t="str">
        <f>+S3</f>
        <v>Kleeblatt Fürth</v>
      </c>
      <c r="BS7" s="222">
        <f t="shared" ref="BS7:BS18" si="18">RANK(BQ7,BQ:BQ)</f>
        <v>2</v>
      </c>
      <c r="BT7" s="223">
        <f>SUMIF(BH7:BM7,"&gt;0")</f>
        <v>809</v>
      </c>
      <c r="BU7" s="223">
        <f>IF(COUNTIF(BH7:BM7,"&gt;0")&lt;Spielorte!$A$23,0,BE7/Spielorte!$A$23)</f>
        <v>134.83333333333334</v>
      </c>
      <c r="BV7" s="223">
        <f>IF(BU7&lt;MAX(BU:BU),0,BU7+ROW()/1000000000)</f>
        <v>0</v>
      </c>
      <c r="BW7" s="222">
        <f>IF(BV7=0,0,RANK(BV7,BV:BV))</f>
        <v>0</v>
      </c>
    </row>
    <row r="8" spans="1:75" ht="17.100000000000001" customHeight="1" x14ac:dyDescent="0.25">
      <c r="A8" s="378"/>
      <c r="B8" s="19" t="str">
        <f t="shared" ref="B8:D20" si="19">IF(S8=0,"",S8)</f>
        <v/>
      </c>
      <c r="C8" s="20" t="str">
        <f t="shared" si="19"/>
        <v/>
      </c>
      <c r="D8" s="15" t="str">
        <f t="shared" si="19"/>
        <v/>
      </c>
      <c r="E8" s="357"/>
      <c r="F8" s="15" t="str">
        <f t="shared" si="0"/>
        <v/>
      </c>
      <c r="G8" s="357"/>
      <c r="H8" s="15" t="str">
        <f t="shared" si="1"/>
        <v/>
      </c>
      <c r="I8" s="357"/>
      <c r="J8" s="15" t="str">
        <f t="shared" si="2"/>
        <v/>
      </c>
      <c r="K8" s="357"/>
      <c r="L8" s="15" t="str">
        <f t="shared" si="3"/>
        <v/>
      </c>
      <c r="M8" s="357"/>
      <c r="N8" s="15" t="str">
        <f t="shared" si="4"/>
        <v/>
      </c>
      <c r="O8" s="357"/>
      <c r="R8" s="360"/>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0">+BR7</f>
        <v>Kleeblatt Fürth</v>
      </c>
      <c r="BS8" s="222">
        <f t="shared" si="18"/>
        <v>2</v>
      </c>
      <c r="BT8" s="223">
        <f t="shared" ref="BT8:BT18" si="21">SUMIF(BH8:BM8,"&gt;0")</f>
        <v>0</v>
      </c>
      <c r="BU8" s="223">
        <f>IF(COUNTIF(BH8:BM8,"&gt;0")&lt;Spielorte!$A$23,0,BE8/Spielorte!$A$23)</f>
        <v>0</v>
      </c>
      <c r="BV8" s="223">
        <f t="shared" ref="BV8:BV18" si="22">IF(BU8&lt;MAX(BU:BU),0,BU8+ROW()/1000000000)</f>
        <v>0</v>
      </c>
      <c r="BW8" s="222">
        <f t="shared" ref="BW8:BW18" si="23">IF(BV8=0,0,RANK(BV8,BV:BV))</f>
        <v>0</v>
      </c>
    </row>
    <row r="9" spans="1:75" ht="17.100000000000001" customHeight="1" thickBot="1" x14ac:dyDescent="0.3">
      <c r="A9" s="379"/>
      <c r="B9" s="21" t="str">
        <f t="shared" si="19"/>
        <v/>
      </c>
      <c r="C9" s="22" t="str">
        <f t="shared" si="19"/>
        <v/>
      </c>
      <c r="D9" s="9" t="str">
        <f t="shared" si="19"/>
        <v/>
      </c>
      <c r="E9" s="358"/>
      <c r="F9" s="9" t="str">
        <f t="shared" si="0"/>
        <v/>
      </c>
      <c r="G9" s="358"/>
      <c r="H9" s="9" t="str">
        <f t="shared" si="1"/>
        <v/>
      </c>
      <c r="I9" s="358"/>
      <c r="J9" s="9" t="str">
        <f t="shared" si="2"/>
        <v/>
      </c>
      <c r="K9" s="358"/>
      <c r="L9" s="9" t="str">
        <f t="shared" si="3"/>
        <v/>
      </c>
      <c r="M9" s="358"/>
      <c r="N9" s="9" t="str">
        <f t="shared" si="4"/>
        <v/>
      </c>
      <c r="O9" s="358"/>
      <c r="R9" s="361"/>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0"/>
        <v>Kleeblatt Fürth</v>
      </c>
      <c r="BS9" s="222">
        <f t="shared" si="18"/>
        <v>2</v>
      </c>
      <c r="BT9" s="223">
        <f t="shared" si="21"/>
        <v>0</v>
      </c>
      <c r="BU9" s="223">
        <f>IF(COUNTIF(BH9:BM9,"&gt;0")&lt;Spielorte!$A$23,0,BE9/Spielorte!$A$23)</f>
        <v>0</v>
      </c>
      <c r="BV9" s="223">
        <f t="shared" si="22"/>
        <v>0</v>
      </c>
      <c r="BW9" s="222">
        <f t="shared" si="23"/>
        <v>0</v>
      </c>
    </row>
    <row r="10" spans="1:75" ht="17.100000000000001" customHeight="1" x14ac:dyDescent="0.25">
      <c r="A10" s="377" t="s">
        <v>2</v>
      </c>
      <c r="B10" s="17" t="str">
        <f t="shared" si="19"/>
        <v>Herderich, Christine</v>
      </c>
      <c r="C10" s="18">
        <f t="shared" si="19"/>
        <v>7956</v>
      </c>
      <c r="D10" s="14">
        <f t="shared" si="19"/>
        <v>170</v>
      </c>
      <c r="E10" s="356">
        <f>IF(V10="","",V10)</f>
        <v>1</v>
      </c>
      <c r="F10" s="14">
        <f t="shared" si="0"/>
        <v>186</v>
      </c>
      <c r="G10" s="356">
        <f>IF(X10="","",X10)</f>
        <v>0</v>
      </c>
      <c r="H10" s="14">
        <f t="shared" si="1"/>
        <v>168</v>
      </c>
      <c r="I10" s="356">
        <f>IF(Z10="","",Z10)</f>
        <v>1</v>
      </c>
      <c r="J10" s="14">
        <f t="shared" si="2"/>
        <v>147</v>
      </c>
      <c r="K10" s="356">
        <f>IF(AB10="","",AB10)</f>
        <v>0</v>
      </c>
      <c r="L10" s="14">
        <f t="shared" si="3"/>
        <v>160</v>
      </c>
      <c r="M10" s="356">
        <f>IF(AD10="","",AD10)</f>
        <v>0</v>
      </c>
      <c r="N10" s="14">
        <f t="shared" si="4"/>
        <v>982</v>
      </c>
      <c r="O10" s="356">
        <f>IF(AH10="","",AH10)</f>
        <v>2</v>
      </c>
      <c r="R10" s="359" t="s">
        <v>2</v>
      </c>
      <c r="S10" s="67" t="str">
        <f>IF(T10=0,"",VLOOKUP(T10,Starter!$A$1:$D$187,2,FALSE))</f>
        <v>Herderich, Christine</v>
      </c>
      <c r="T10" s="177">
        <v>7956</v>
      </c>
      <c r="U10" s="185">
        <v>170</v>
      </c>
      <c r="V10" s="95">
        <f>IF(SUM(U10:U12)+U26=0,0,IF(ABS(SUM(U10:U12))=U26,0.5,IF(ABS(SUM(U10:U12))&gt;U26,1,0)))</f>
        <v>1</v>
      </c>
      <c r="W10" s="185">
        <v>186</v>
      </c>
      <c r="X10" s="95">
        <f>IF(SUM(W10:W12)+W26=0,0,IF(ABS(SUM(W10:W12))=W26,0.5,IF(ABS(SUM(W10:W12))&gt;W26,1,0)))</f>
        <v>0</v>
      </c>
      <c r="Y10" s="185">
        <v>168</v>
      </c>
      <c r="Z10" s="95">
        <f>IF(SUM(Y10:Y12)+Y26=0,0,IF(ABS(SUM(Y10:Y12))=Y26,0.5,IF(ABS(SUM(Y10:Y12))&gt;Y26,1,0)))</f>
        <v>1</v>
      </c>
      <c r="AA10" s="185">
        <v>147</v>
      </c>
      <c r="AB10" s="95">
        <f>IF(SUM(AA10:AA12)+AA26=0,0,IF(ABS(SUM(AA10:AA12))=AA26,0.5,IF(ABS(SUM(AA10:AA12))&gt;AA26,1,0)))</f>
        <v>0</v>
      </c>
      <c r="AC10" s="185">
        <v>160</v>
      </c>
      <c r="AD10" s="95">
        <f>IF(SUM(AC10:AC12)+AC26=0,0,IF(ABS(SUM(AC10:AC12))=AC26,0.5,IF(ABS(SUM(AC10:AC12))&gt;AC26,1,0)))</f>
        <v>0</v>
      </c>
      <c r="AE10" s="185">
        <v>151</v>
      </c>
      <c r="AF10" s="95">
        <f>IF(SUM(AE10:AE12)+AE26=0,0,IF(ABS(SUM(AE10:AE12))=AE26,0.5,IF(ABS(SUM(AE10:AE12))&gt;AE26,1,0)))</f>
        <v>0</v>
      </c>
      <c r="AG10" s="194">
        <f t="shared" si="5"/>
        <v>982</v>
      </c>
      <c r="AH10" s="179">
        <f>SUM(V10+X10+Z10+AB10+AD10+AF10)</f>
        <v>2</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982</v>
      </c>
      <c r="BF10" s="223">
        <f t="shared" si="8"/>
        <v>6</v>
      </c>
      <c r="BG10" s="223">
        <f t="shared" si="9"/>
        <v>6</v>
      </c>
      <c r="BH10" s="223">
        <f t="shared" si="10"/>
        <v>170</v>
      </c>
      <c r="BI10" s="223">
        <f t="shared" si="11"/>
        <v>186</v>
      </c>
      <c r="BJ10" s="223">
        <f t="shared" si="12"/>
        <v>168</v>
      </c>
      <c r="BK10" s="223">
        <f t="shared" si="13"/>
        <v>147</v>
      </c>
      <c r="BL10" s="223">
        <f t="shared" si="14"/>
        <v>160</v>
      </c>
      <c r="BM10" s="223">
        <f t="shared" si="15"/>
        <v>151</v>
      </c>
      <c r="BN10" s="224"/>
      <c r="BO10" s="222"/>
      <c r="BP10" s="223">
        <f t="shared" si="16"/>
        <v>186</v>
      </c>
      <c r="BQ10" s="223">
        <f t="shared" si="17"/>
        <v>0</v>
      </c>
      <c r="BR10" s="223" t="str">
        <f t="shared" si="20"/>
        <v>Kleeblatt Fürth</v>
      </c>
      <c r="BS10" s="222">
        <f t="shared" si="18"/>
        <v>2</v>
      </c>
      <c r="BT10" s="223">
        <f t="shared" si="21"/>
        <v>982</v>
      </c>
      <c r="BU10" s="223">
        <f>IF(COUNTIF(BH10:BM10,"&gt;0")&lt;Spielorte!$A$23,0,BE10/Spielorte!$A$23)</f>
        <v>163.66666666666666</v>
      </c>
      <c r="BV10" s="223">
        <f t="shared" si="22"/>
        <v>0</v>
      </c>
      <c r="BW10" s="222">
        <f t="shared" si="23"/>
        <v>0</v>
      </c>
    </row>
    <row r="11" spans="1:75" ht="17.100000000000001" customHeight="1" x14ac:dyDescent="0.25">
      <c r="A11" s="378"/>
      <c r="B11" s="19" t="str">
        <f t="shared" si="19"/>
        <v/>
      </c>
      <c r="C11" s="20" t="str">
        <f t="shared" si="19"/>
        <v/>
      </c>
      <c r="D11" s="15" t="str">
        <f t="shared" si="19"/>
        <v/>
      </c>
      <c r="E11" s="357"/>
      <c r="F11" s="15" t="str">
        <f t="shared" si="0"/>
        <v/>
      </c>
      <c r="G11" s="357"/>
      <c r="H11" s="15" t="str">
        <f t="shared" si="1"/>
        <v/>
      </c>
      <c r="I11" s="357"/>
      <c r="J11" s="15" t="str">
        <f t="shared" si="2"/>
        <v/>
      </c>
      <c r="K11" s="357"/>
      <c r="L11" s="15" t="str">
        <f t="shared" si="3"/>
        <v/>
      </c>
      <c r="M11" s="357"/>
      <c r="N11" s="15" t="str">
        <f t="shared" si="4"/>
        <v/>
      </c>
      <c r="O11" s="357"/>
      <c r="R11" s="360"/>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0"/>
        <v>Kleeblatt Fürth</v>
      </c>
      <c r="BS11" s="222">
        <f t="shared" si="18"/>
        <v>2</v>
      </c>
      <c r="BT11" s="223">
        <f t="shared" si="21"/>
        <v>0</v>
      </c>
      <c r="BU11" s="223">
        <f>IF(COUNTIF(BH11:BM11,"&gt;0")&lt;Spielorte!$A$23,0,BE11/Spielorte!$A$23)</f>
        <v>0</v>
      </c>
      <c r="BV11" s="223">
        <f t="shared" si="22"/>
        <v>0</v>
      </c>
      <c r="BW11" s="222">
        <f t="shared" si="23"/>
        <v>0</v>
      </c>
    </row>
    <row r="12" spans="1:75" ht="17.100000000000001" customHeight="1" thickBot="1" x14ac:dyDescent="0.3">
      <c r="A12" s="379"/>
      <c r="B12" s="21" t="str">
        <f t="shared" si="19"/>
        <v/>
      </c>
      <c r="C12" s="22" t="str">
        <f t="shared" si="19"/>
        <v/>
      </c>
      <c r="D12" s="9" t="str">
        <f t="shared" si="19"/>
        <v/>
      </c>
      <c r="E12" s="358"/>
      <c r="F12" s="9" t="str">
        <f t="shared" si="0"/>
        <v/>
      </c>
      <c r="G12" s="358"/>
      <c r="H12" s="9" t="str">
        <f t="shared" si="1"/>
        <v/>
      </c>
      <c r="I12" s="358"/>
      <c r="J12" s="9" t="str">
        <f t="shared" si="2"/>
        <v/>
      </c>
      <c r="K12" s="358"/>
      <c r="L12" s="9" t="str">
        <f t="shared" si="3"/>
        <v/>
      </c>
      <c r="M12" s="358"/>
      <c r="N12" s="9" t="str">
        <f t="shared" si="4"/>
        <v/>
      </c>
      <c r="O12" s="358"/>
      <c r="R12" s="361"/>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0"/>
        <v>Kleeblatt Fürth</v>
      </c>
      <c r="BS12" s="222">
        <f t="shared" si="18"/>
        <v>2</v>
      </c>
      <c r="BT12" s="223">
        <f t="shared" si="21"/>
        <v>0</v>
      </c>
      <c r="BU12" s="223">
        <f>IF(COUNTIF(BH12:BM12,"&gt;0")&lt;Spielorte!$A$23,0,BE12/Spielorte!$A$23)</f>
        <v>0</v>
      </c>
      <c r="BV12" s="223">
        <f t="shared" si="22"/>
        <v>0</v>
      </c>
      <c r="BW12" s="222">
        <f t="shared" si="23"/>
        <v>0</v>
      </c>
    </row>
    <row r="13" spans="1:75" ht="17.100000000000001" customHeight="1" x14ac:dyDescent="0.25">
      <c r="A13" s="377" t="s">
        <v>3</v>
      </c>
      <c r="B13" s="17" t="str">
        <f t="shared" si="19"/>
        <v>Beinlich, Gabriele</v>
      </c>
      <c r="C13" s="18">
        <f t="shared" si="19"/>
        <v>38697</v>
      </c>
      <c r="D13" s="14">
        <f t="shared" si="19"/>
        <v>167</v>
      </c>
      <c r="E13" s="356">
        <f>IF(V13="","",V13)</f>
        <v>1</v>
      </c>
      <c r="F13" s="14">
        <f t="shared" si="0"/>
        <v>140</v>
      </c>
      <c r="G13" s="356">
        <f>IF(X13="","",X13)</f>
        <v>0</v>
      </c>
      <c r="H13" s="14">
        <f t="shared" si="1"/>
        <v>120</v>
      </c>
      <c r="I13" s="356">
        <f>IF(Z13="","",Z13)</f>
        <v>0</v>
      </c>
      <c r="J13" s="14">
        <f t="shared" si="2"/>
        <v>141</v>
      </c>
      <c r="K13" s="356">
        <f>IF(AB13="","",AB13)</f>
        <v>1</v>
      </c>
      <c r="L13" s="14">
        <f t="shared" si="3"/>
        <v>146</v>
      </c>
      <c r="M13" s="356">
        <f>IF(AD13="","",AD13)</f>
        <v>0</v>
      </c>
      <c r="N13" s="14">
        <f t="shared" si="4"/>
        <v>847</v>
      </c>
      <c r="O13" s="356">
        <f>IF(AH13="","",AH13)</f>
        <v>2</v>
      </c>
      <c r="R13" s="359" t="s">
        <v>3</v>
      </c>
      <c r="S13" s="67" t="str">
        <f>IF(T13=0,"",VLOOKUP(T13,Starter!$A$1:$D$187,2,FALSE))</f>
        <v>Beinlich, Gabriele</v>
      </c>
      <c r="T13" s="177">
        <v>38697</v>
      </c>
      <c r="U13" s="185">
        <v>167</v>
      </c>
      <c r="V13" s="95">
        <f>IF(SUM(U13:U15)+U27=0,0,IF(ABS(SUM(U13:U15))=U27,0.5,IF(ABS(SUM(U13:U15))&gt;U27,1,0)))</f>
        <v>1</v>
      </c>
      <c r="W13" s="185">
        <v>140</v>
      </c>
      <c r="X13" s="95">
        <f>IF(SUM(W13:W15)+W27=0,0,IF(ABS(SUM(W13:W15))=W27,0.5,IF(ABS(SUM(W13:W15))&gt;W27,1,0)))</f>
        <v>0</v>
      </c>
      <c r="Y13" s="185">
        <v>120</v>
      </c>
      <c r="Z13" s="95">
        <f>IF(SUM(Y13:Y15)+Y27=0,0,IF(ABS(SUM(Y13:Y15))=Y27,0.5,IF(ABS(SUM(Y13:Y15))&gt;Y27,1,0)))</f>
        <v>0</v>
      </c>
      <c r="AA13" s="185">
        <v>141</v>
      </c>
      <c r="AB13" s="95">
        <f>IF(SUM(AA13:AA15)+AA27=0,0,IF(ABS(SUM(AA13:AA15))=AA27,0.5,IF(ABS(SUM(AA13:AA15))&gt;AA27,1,0)))</f>
        <v>1</v>
      </c>
      <c r="AC13" s="185">
        <v>146</v>
      </c>
      <c r="AD13" s="95">
        <f>IF(SUM(AC13:AC15)+AC27=0,0,IF(ABS(SUM(AC13:AC15))=AC27,0.5,IF(ABS(SUM(AC13:AC15))&gt;AC27,1,0)))</f>
        <v>0</v>
      </c>
      <c r="AE13" s="185">
        <v>133</v>
      </c>
      <c r="AF13" s="95">
        <f>IF(SUM(AE13:AE15)+AE27=0,0,IF(ABS(SUM(AE13:AE15))=AE27,0.5,IF(ABS(SUM(AE13:AE15))&gt;AE27,1,0)))</f>
        <v>0</v>
      </c>
      <c r="AG13" s="194">
        <f t="shared" si="5"/>
        <v>847</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847</v>
      </c>
      <c r="BF13" s="223">
        <f t="shared" si="8"/>
        <v>6</v>
      </c>
      <c r="BG13" s="223">
        <f t="shared" si="9"/>
        <v>6</v>
      </c>
      <c r="BH13" s="223">
        <f t="shared" si="10"/>
        <v>167</v>
      </c>
      <c r="BI13" s="223">
        <f t="shared" si="11"/>
        <v>140</v>
      </c>
      <c r="BJ13" s="223">
        <f t="shared" si="12"/>
        <v>120</v>
      </c>
      <c r="BK13" s="223">
        <f t="shared" si="13"/>
        <v>141</v>
      </c>
      <c r="BL13" s="223">
        <f t="shared" si="14"/>
        <v>146</v>
      </c>
      <c r="BM13" s="223">
        <f t="shared" si="15"/>
        <v>133</v>
      </c>
      <c r="BN13" s="224"/>
      <c r="BO13" s="222"/>
      <c r="BP13" s="223">
        <f t="shared" si="16"/>
        <v>167</v>
      </c>
      <c r="BQ13" s="223">
        <f t="shared" si="17"/>
        <v>0</v>
      </c>
      <c r="BR13" s="223" t="str">
        <f t="shared" si="20"/>
        <v>Kleeblatt Fürth</v>
      </c>
      <c r="BS13" s="222">
        <f t="shared" si="18"/>
        <v>2</v>
      </c>
      <c r="BT13" s="223">
        <f t="shared" si="21"/>
        <v>847</v>
      </c>
      <c r="BU13" s="223">
        <f>IF(COUNTIF(BH13:BM13,"&gt;0")&lt;Spielorte!$A$23,0,BE13/Spielorte!$A$23)</f>
        <v>141.16666666666666</v>
      </c>
      <c r="BV13" s="223">
        <f t="shared" si="22"/>
        <v>0</v>
      </c>
      <c r="BW13" s="222">
        <f t="shared" si="23"/>
        <v>0</v>
      </c>
    </row>
    <row r="14" spans="1:75" ht="17.100000000000001" customHeight="1" x14ac:dyDescent="0.25">
      <c r="A14" s="378"/>
      <c r="B14" s="19" t="str">
        <f t="shared" si="19"/>
        <v/>
      </c>
      <c r="C14" s="20" t="str">
        <f t="shared" si="19"/>
        <v/>
      </c>
      <c r="D14" s="15" t="str">
        <f t="shared" si="19"/>
        <v/>
      </c>
      <c r="E14" s="357"/>
      <c r="F14" s="15" t="str">
        <f t="shared" si="0"/>
        <v/>
      </c>
      <c r="G14" s="357"/>
      <c r="H14" s="15" t="str">
        <f t="shared" si="1"/>
        <v/>
      </c>
      <c r="I14" s="357"/>
      <c r="J14" s="15" t="str">
        <f t="shared" si="2"/>
        <v/>
      </c>
      <c r="K14" s="357"/>
      <c r="L14" s="15" t="str">
        <f t="shared" si="3"/>
        <v/>
      </c>
      <c r="M14" s="357"/>
      <c r="N14" s="15" t="str">
        <f t="shared" si="4"/>
        <v/>
      </c>
      <c r="O14" s="357"/>
      <c r="R14" s="360"/>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0"/>
        <v>Kleeblatt Fürth</v>
      </c>
      <c r="BS14" s="222">
        <f t="shared" si="18"/>
        <v>2</v>
      </c>
      <c r="BT14" s="223">
        <f t="shared" si="21"/>
        <v>0</v>
      </c>
      <c r="BU14" s="223">
        <f>IF(COUNTIF(BH14:BM14,"&gt;0")&lt;Spielorte!$A$23,0,BE14/Spielorte!$A$23)</f>
        <v>0</v>
      </c>
      <c r="BV14" s="223">
        <f t="shared" si="22"/>
        <v>0</v>
      </c>
      <c r="BW14" s="222">
        <f t="shared" si="23"/>
        <v>0</v>
      </c>
    </row>
    <row r="15" spans="1:75" ht="17.100000000000001" customHeight="1" thickBot="1" x14ac:dyDescent="0.3">
      <c r="A15" s="379"/>
      <c r="B15" s="21" t="str">
        <f t="shared" si="19"/>
        <v/>
      </c>
      <c r="C15" s="22" t="str">
        <f t="shared" si="19"/>
        <v/>
      </c>
      <c r="D15" s="9" t="str">
        <f t="shared" si="19"/>
        <v/>
      </c>
      <c r="E15" s="358"/>
      <c r="F15" s="9" t="str">
        <f t="shared" si="0"/>
        <v/>
      </c>
      <c r="G15" s="358"/>
      <c r="H15" s="9" t="str">
        <f t="shared" si="1"/>
        <v/>
      </c>
      <c r="I15" s="358"/>
      <c r="J15" s="9" t="str">
        <f t="shared" si="2"/>
        <v/>
      </c>
      <c r="K15" s="358"/>
      <c r="L15" s="9" t="str">
        <f t="shared" si="3"/>
        <v/>
      </c>
      <c r="M15" s="358"/>
      <c r="N15" s="9" t="str">
        <f t="shared" si="4"/>
        <v/>
      </c>
      <c r="O15" s="358"/>
      <c r="R15" s="361"/>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0"/>
        <v>Kleeblatt Fürth</v>
      </c>
      <c r="BS15" s="222">
        <f t="shared" si="18"/>
        <v>2</v>
      </c>
      <c r="BT15" s="223">
        <f t="shared" si="21"/>
        <v>0</v>
      </c>
      <c r="BU15" s="223">
        <f>IF(COUNTIF(BH15:BM15,"&gt;0")&lt;Spielorte!$A$23,0,BE15/Spielorte!$A$23)</f>
        <v>0</v>
      </c>
      <c r="BV15" s="223">
        <f t="shared" si="22"/>
        <v>0</v>
      </c>
      <c r="BW15" s="222">
        <f t="shared" si="23"/>
        <v>0</v>
      </c>
    </row>
    <row r="16" spans="1:75" ht="17.100000000000001" customHeight="1" x14ac:dyDescent="0.25">
      <c r="A16" s="377" t="s">
        <v>11</v>
      </c>
      <c r="B16" s="17" t="str">
        <f>IF(S16=0,"",S16)</f>
        <v>Hackel, Monika</v>
      </c>
      <c r="C16" s="18">
        <f t="shared" si="19"/>
        <v>38512</v>
      </c>
      <c r="D16" s="14">
        <f t="shared" si="19"/>
        <v>181</v>
      </c>
      <c r="E16" s="356">
        <f>IF(V16="","",V16)</f>
        <v>1</v>
      </c>
      <c r="F16" s="14">
        <f t="shared" si="0"/>
        <v>166</v>
      </c>
      <c r="G16" s="356">
        <f>IF(X16="","",X16)</f>
        <v>0</v>
      </c>
      <c r="H16" s="14">
        <f t="shared" si="1"/>
        <v>158</v>
      </c>
      <c r="I16" s="356">
        <f>IF(Z16="","",Z16)</f>
        <v>0</v>
      </c>
      <c r="J16" s="14">
        <f t="shared" si="2"/>
        <v>179</v>
      </c>
      <c r="K16" s="356">
        <f>IF(AB16="","",AB16)</f>
        <v>0</v>
      </c>
      <c r="L16" s="14">
        <f t="shared" si="3"/>
        <v>165</v>
      </c>
      <c r="M16" s="356">
        <f>IF(AD16="","",AD16)</f>
        <v>0</v>
      </c>
      <c r="N16" s="14">
        <f t="shared" si="4"/>
        <v>996</v>
      </c>
      <c r="O16" s="356">
        <f>IF(AH16="","",AH16)</f>
        <v>1</v>
      </c>
      <c r="R16" s="359" t="s">
        <v>11</v>
      </c>
      <c r="S16" s="67" t="str">
        <f>IF(T16=0,"",VLOOKUP(T16,Starter!$A$1:$D$187,2,FALSE))</f>
        <v>Hackel, Monika</v>
      </c>
      <c r="T16" s="177">
        <v>38512</v>
      </c>
      <c r="U16" s="185">
        <v>181</v>
      </c>
      <c r="V16" s="95">
        <f>IF(SUM(U16:U18)+U28=0,0,IF(ABS(SUM(U16:U18))=U28,0.5,IF(ABS(SUM(U16:U18))&gt;U28,1,0)))</f>
        <v>1</v>
      </c>
      <c r="W16" s="185">
        <v>166</v>
      </c>
      <c r="X16" s="95">
        <f>IF(SUM(W16:W18)+W28=0,0,IF(ABS(SUM(W16:W18))=W28,0.5,IF(ABS(SUM(W16:W18))&gt;W28,1,0)))</f>
        <v>0</v>
      </c>
      <c r="Y16" s="185">
        <v>158</v>
      </c>
      <c r="Z16" s="95">
        <f>IF(SUM(Y16:Y18)+Y28=0,0,IF(ABS(SUM(Y16:Y18))=Y28,0.5,IF(ABS(SUM(Y16:Y18))&gt;Y28,1,0)))</f>
        <v>0</v>
      </c>
      <c r="AA16" s="185">
        <v>179</v>
      </c>
      <c r="AB16" s="95">
        <f>IF(SUM(AA16:AA18)+AA28=0,0,IF(ABS(SUM(AA16:AA18))=AA28,0.5,IF(ABS(SUM(AA16:AA18))&gt;AA28,1,0)))</f>
        <v>0</v>
      </c>
      <c r="AC16" s="185">
        <v>165</v>
      </c>
      <c r="AD16" s="95">
        <f>IF(SUM(AC16:AC18)+AC28=0,0,IF(ABS(SUM(AC16:AC18))=AC28,0.5,IF(ABS(SUM(AC16:AC18))&gt;AC28,1,0)))</f>
        <v>0</v>
      </c>
      <c r="AE16" s="185">
        <v>147</v>
      </c>
      <c r="AF16" s="95">
        <f>IF(SUM(AE16:AE18)+AE28=0,0,IF(ABS(SUM(AE16:AE18))=AE28,0.5,IF(ABS(SUM(AE16:AE18))&gt;AE28,1,0)))</f>
        <v>0</v>
      </c>
      <c r="AG16" s="194">
        <f t="shared" si="5"/>
        <v>996</v>
      </c>
      <c r="AH16" s="179">
        <f>SUM(V16+X16+Z16+AB16+AD16+AF16)</f>
        <v>1</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996</v>
      </c>
      <c r="BF16" s="223">
        <f t="shared" si="8"/>
        <v>6</v>
      </c>
      <c r="BG16" s="223">
        <f t="shared" si="9"/>
        <v>6</v>
      </c>
      <c r="BH16" s="223">
        <f t="shared" si="10"/>
        <v>181</v>
      </c>
      <c r="BI16" s="223">
        <f t="shared" si="11"/>
        <v>166</v>
      </c>
      <c r="BJ16" s="223">
        <f t="shared" si="12"/>
        <v>158</v>
      </c>
      <c r="BK16" s="223">
        <f t="shared" si="13"/>
        <v>179</v>
      </c>
      <c r="BL16" s="223">
        <f t="shared" si="14"/>
        <v>165</v>
      </c>
      <c r="BM16" s="223">
        <f t="shared" si="15"/>
        <v>147</v>
      </c>
      <c r="BN16" s="224"/>
      <c r="BO16" s="222"/>
      <c r="BP16" s="223">
        <f t="shared" si="16"/>
        <v>181</v>
      </c>
      <c r="BQ16" s="223">
        <f t="shared" si="17"/>
        <v>0</v>
      </c>
      <c r="BR16" s="223" t="str">
        <f t="shared" si="20"/>
        <v>Kleeblatt Fürth</v>
      </c>
      <c r="BS16" s="222">
        <f t="shared" si="18"/>
        <v>2</v>
      </c>
      <c r="BT16" s="223">
        <f t="shared" si="21"/>
        <v>996</v>
      </c>
      <c r="BU16" s="223">
        <f>IF(COUNTIF(BH16:BM16,"&gt;0")&lt;Spielorte!$A$23,0,BE16/Spielorte!$A$23)</f>
        <v>166</v>
      </c>
      <c r="BV16" s="223">
        <f t="shared" si="22"/>
        <v>0</v>
      </c>
      <c r="BW16" s="222">
        <f t="shared" si="23"/>
        <v>0</v>
      </c>
    </row>
    <row r="17" spans="1:75" ht="17.100000000000001" customHeight="1" x14ac:dyDescent="0.25">
      <c r="A17" s="378"/>
      <c r="B17" s="19" t="str">
        <f>IF(S17=0,"",S17)</f>
        <v/>
      </c>
      <c r="C17" s="20" t="str">
        <f t="shared" si="19"/>
        <v/>
      </c>
      <c r="D17" s="15" t="str">
        <f t="shared" si="19"/>
        <v/>
      </c>
      <c r="E17" s="357"/>
      <c r="F17" s="15" t="str">
        <f t="shared" si="0"/>
        <v/>
      </c>
      <c r="G17" s="357"/>
      <c r="H17" s="15" t="str">
        <f t="shared" si="1"/>
        <v/>
      </c>
      <c r="I17" s="357"/>
      <c r="J17" s="15" t="str">
        <f t="shared" si="2"/>
        <v/>
      </c>
      <c r="K17" s="357"/>
      <c r="L17" s="15" t="str">
        <f t="shared" si="3"/>
        <v/>
      </c>
      <c r="M17" s="357"/>
      <c r="N17" s="15" t="str">
        <f t="shared" si="4"/>
        <v/>
      </c>
      <c r="O17" s="357"/>
      <c r="R17" s="360"/>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0"/>
        <v>Kleeblatt Fürth</v>
      </c>
      <c r="BS17" s="222">
        <f t="shared" si="18"/>
        <v>2</v>
      </c>
      <c r="BT17" s="223">
        <f t="shared" si="21"/>
        <v>0</v>
      </c>
      <c r="BU17" s="223">
        <f>IF(COUNTIF(BH17:BM17,"&gt;0")&lt;Spielorte!$A$23,0,BE17/Spielorte!$A$23)</f>
        <v>0</v>
      </c>
      <c r="BV17" s="223">
        <f t="shared" si="22"/>
        <v>0</v>
      </c>
      <c r="BW17" s="222">
        <f t="shared" si="23"/>
        <v>0</v>
      </c>
    </row>
    <row r="18" spans="1:75" ht="17.100000000000001" customHeight="1" thickBot="1" x14ac:dyDescent="0.3">
      <c r="A18" s="379"/>
      <c r="B18" s="21" t="str">
        <f>IF(S18=0,"",S18)</f>
        <v/>
      </c>
      <c r="C18" s="22" t="str">
        <f t="shared" si="19"/>
        <v/>
      </c>
      <c r="D18" s="9" t="str">
        <f t="shared" si="19"/>
        <v/>
      </c>
      <c r="E18" s="358"/>
      <c r="F18" s="9" t="str">
        <f t="shared" si="0"/>
        <v/>
      </c>
      <c r="G18" s="358"/>
      <c r="H18" s="9" t="str">
        <f t="shared" si="1"/>
        <v/>
      </c>
      <c r="I18" s="358"/>
      <c r="J18" s="9" t="str">
        <f t="shared" si="2"/>
        <v/>
      </c>
      <c r="K18" s="358"/>
      <c r="L18" s="9" t="str">
        <f t="shared" si="3"/>
        <v/>
      </c>
      <c r="M18" s="358"/>
      <c r="N18" s="9" t="str">
        <f t="shared" si="4"/>
        <v/>
      </c>
      <c r="O18" s="358"/>
      <c r="R18" s="361"/>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0"/>
        <v>Kleeblatt Fürth</v>
      </c>
      <c r="BS18" s="222">
        <f t="shared" si="18"/>
        <v>2</v>
      </c>
      <c r="BT18" s="223">
        <f t="shared" si="21"/>
        <v>0</v>
      </c>
      <c r="BU18" s="223">
        <f>IF(COUNTIF(BH18:BM18,"&gt;0")&lt;Spielorte!$A$23,0,BE18/Spielorte!$A$23)</f>
        <v>0</v>
      </c>
      <c r="BV18" s="223">
        <f t="shared" si="22"/>
        <v>0</v>
      </c>
      <c r="BW18" s="222">
        <f t="shared" si="23"/>
        <v>0</v>
      </c>
    </row>
    <row r="19" spans="1:75" ht="27.75" customHeight="1" thickBot="1" x14ac:dyDescent="0.3">
      <c r="B19" s="11" t="str">
        <f>IF(S19=0,"",S19)</f>
        <v>Gesamt</v>
      </c>
      <c r="C19" s="26" t="str">
        <f t="shared" si="19"/>
        <v/>
      </c>
      <c r="D19" s="16">
        <f t="shared" si="19"/>
        <v>636</v>
      </c>
      <c r="E19" s="12">
        <f>IF(V19="","",V19)</f>
        <v>0</v>
      </c>
      <c r="F19" s="16">
        <f t="shared" si="0"/>
        <v>626</v>
      </c>
      <c r="G19" s="12">
        <f>IF(X19="","",X19)</f>
        <v>0</v>
      </c>
      <c r="H19" s="16">
        <f t="shared" si="1"/>
        <v>596</v>
      </c>
      <c r="I19" s="12">
        <f>IF(Z19="","",Z19)</f>
        <v>0</v>
      </c>
      <c r="J19" s="16">
        <f t="shared" si="2"/>
        <v>608</v>
      </c>
      <c r="K19" s="12">
        <f>IF(AB19="","",AB19)</f>
        <v>0</v>
      </c>
      <c r="L19" s="16">
        <f t="shared" si="3"/>
        <v>608</v>
      </c>
      <c r="M19" s="12">
        <f>IF(AD19="","",AD19)</f>
        <v>0</v>
      </c>
      <c r="N19" s="16">
        <f t="shared" si="4"/>
        <v>3634</v>
      </c>
      <c r="O19" s="12">
        <f>IF(AH19="","",AH19)</f>
        <v>0</v>
      </c>
      <c r="S19" s="11" t="s">
        <v>1788</v>
      </c>
      <c r="T19" s="70"/>
      <c r="U19" s="187">
        <f>ABS(SUM(U7:U9))+ABS(SUM(U10:U12))+ABS(SUM(U13:U15))+ABS(SUM(U16:U18))</f>
        <v>636</v>
      </c>
      <c r="V19" s="98">
        <f>IF(U19+U29=0,0,IF(U19=U29,1,IF(U19&gt;U29,2,0)))</f>
        <v>0</v>
      </c>
      <c r="W19" s="187">
        <f>ABS(SUM(W7:W9))+ABS(SUM(W10:W12))+ABS(SUM(W13:W15))+ABS(SUM(W16:W18))</f>
        <v>626</v>
      </c>
      <c r="X19" s="98">
        <f>IF(W19+W29=0,0,IF(W19=W29,1,IF(W19&gt;W29,2,0)))</f>
        <v>0</v>
      </c>
      <c r="Y19" s="187">
        <f>ABS(SUM(Y7:Y9))+ABS(SUM(Y10:Y12))+ABS(SUM(Y13:Y15))+ABS(SUM(Y16:Y18))</f>
        <v>596</v>
      </c>
      <c r="Z19" s="98">
        <f>IF(Y19+Y29=0,0,IF(Y19=Y29,1,IF(Y19&gt;Y29,2,0)))</f>
        <v>0</v>
      </c>
      <c r="AA19" s="187">
        <f>ABS(SUM(AA7:AA9))+ABS(SUM(AA10:AA12))+ABS(SUM(AA13:AA15))+ABS(SUM(AA16:AA18))</f>
        <v>608</v>
      </c>
      <c r="AB19" s="98">
        <f>IF(AA19+AA29=0,0,IF(AA19=AA29,1,IF(AA19&gt;AA29,2,0)))</f>
        <v>0</v>
      </c>
      <c r="AC19" s="187">
        <f>ABS(SUM(AC7:AC9))+ABS(SUM(AC10:AC12))+ABS(SUM(AC13:AC15))+ABS(SUM(AC16:AC18))</f>
        <v>608</v>
      </c>
      <c r="AD19" s="98">
        <f>IF(AC19+AC29=0,0,IF(AC19=AC29,1,IF(AC19&gt;AC29,2,0)))</f>
        <v>0</v>
      </c>
      <c r="AE19" s="187">
        <f>ABS(SUM(AE7:AE9))+ABS(SUM(AE10:AE12))+ABS(SUM(AE13:AE15))+ABS(SUM(AE16:AE18))</f>
        <v>560</v>
      </c>
      <c r="AF19" s="98">
        <f>IF(AE19+AE29=0,0,IF(AE19=AE29,1,IF(AE19&gt;AE29,2,0)))</f>
        <v>0</v>
      </c>
      <c r="AG19" s="197">
        <f>SUM(U19+W19+Y19+AA19+AC19+AE19)</f>
        <v>3634</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19"/>
        <v/>
      </c>
      <c r="D20" s="1" t="str">
        <f t="shared" si="19"/>
        <v/>
      </c>
      <c r="E20" s="23">
        <f>IF(V20="","",V20)</f>
        <v>3</v>
      </c>
      <c r="F20" s="1" t="str">
        <f t="shared" si="0"/>
        <v/>
      </c>
      <c r="G20" s="23">
        <f>IF(X20="","",X20)</f>
        <v>1</v>
      </c>
      <c r="H20" s="1" t="str">
        <f t="shared" si="1"/>
        <v/>
      </c>
      <c r="I20" s="23">
        <f>IF(Z20="","",Z20)</f>
        <v>1</v>
      </c>
      <c r="J20" s="1" t="str">
        <f t="shared" si="2"/>
        <v/>
      </c>
      <c r="K20" s="23">
        <f>IF(AB20="","",AB20)</f>
        <v>1</v>
      </c>
      <c r="L20" s="1" t="str">
        <f t="shared" si="3"/>
        <v/>
      </c>
      <c r="M20" s="23">
        <f>IF(AD20="","",AD20)</f>
        <v>1</v>
      </c>
      <c r="N20" s="1" t="str">
        <f t="shared" si="4"/>
        <v/>
      </c>
      <c r="O20" s="23">
        <f>IF(AH20="","",AH20)</f>
        <v>7</v>
      </c>
      <c r="S20" s="8" t="s">
        <v>1799</v>
      </c>
      <c r="T20" s="1"/>
      <c r="U20" s="1"/>
      <c r="V20" s="71">
        <f>SUM(V7:V19)</f>
        <v>3</v>
      </c>
      <c r="W20" s="1"/>
      <c r="X20" s="71">
        <f>SUM(X7:X19)</f>
        <v>1</v>
      </c>
      <c r="Y20" s="1"/>
      <c r="Z20" s="71">
        <f>SUM(Z7:Z19)</f>
        <v>1</v>
      </c>
      <c r="AA20" s="1"/>
      <c r="AB20" s="71">
        <f>SUM(AB7:AB19)</f>
        <v>1</v>
      </c>
      <c r="AC20" s="1"/>
      <c r="AD20" s="71">
        <f>SUM(AD7:AD19)</f>
        <v>1</v>
      </c>
      <c r="AE20" s="1"/>
      <c r="AF20" s="71">
        <f>SUM(AF7:AF19)</f>
        <v>0</v>
      </c>
      <c r="AG20" s="1"/>
      <c r="AH20" s="71">
        <f>SUM(AH7:AH19)</f>
        <v>7</v>
      </c>
      <c r="AI20" s="94"/>
      <c r="AJ20" s="94"/>
      <c r="AK20" s="94"/>
      <c r="AL20" s="94"/>
      <c r="AM20" s="94"/>
      <c r="AN20" s="94"/>
      <c r="AO20" s="94"/>
      <c r="AP20" s="94"/>
      <c r="AQ20" s="94"/>
      <c r="AR20" s="94"/>
      <c r="AS20" s="94"/>
      <c r="AT20" s="94"/>
      <c r="AU20" s="94"/>
      <c r="AV20" s="94"/>
      <c r="AW20" s="94"/>
      <c r="AX20" s="94"/>
      <c r="AY20" s="94"/>
      <c r="AZ20" s="94"/>
      <c r="BA20" s="220">
        <f>IFERROR(AH20,0)</f>
        <v>7</v>
      </c>
      <c r="BB20" s="221">
        <f>AG19</f>
        <v>3634</v>
      </c>
      <c r="BC20" s="222">
        <f>+S2</f>
        <v>1</v>
      </c>
      <c r="BF20" s="223">
        <f>SUM(BF1:BF19)</f>
        <v>24</v>
      </c>
      <c r="BN20" s="220">
        <f>+BB20/1000000+BA20</f>
        <v>7.0036339999999999</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4">
        <f t="shared" si="24"/>
        <v>2</v>
      </c>
      <c r="E22" s="354" t="str">
        <f t="shared" si="24"/>
        <v/>
      </c>
      <c r="F22" s="354">
        <f t="shared" si="24"/>
        <v>2</v>
      </c>
      <c r="G22" s="354" t="str">
        <f t="shared" si="24"/>
        <v/>
      </c>
      <c r="H22" s="354">
        <f t="shared" si="24"/>
        <v>2</v>
      </c>
      <c r="I22" s="354" t="str">
        <f t="shared" si="24"/>
        <v/>
      </c>
      <c r="J22" s="354">
        <f t="shared" si="24"/>
        <v>2</v>
      </c>
      <c r="K22" s="354" t="str">
        <f t="shared" si="24"/>
        <v/>
      </c>
      <c r="L22" s="354">
        <f t="shared" si="24"/>
        <v>2</v>
      </c>
      <c r="M22" s="354" t="str">
        <f t="shared" si="24"/>
        <v/>
      </c>
      <c r="N22" s="355"/>
      <c r="O22" s="355"/>
      <c r="S22" s="13" t="s">
        <v>1786</v>
      </c>
      <c r="T22" s="5" t="s">
        <v>1787</v>
      </c>
      <c r="U22" s="373">
        <f>VLOOKUP($S2,Schlüssel!$A$5:$CX$10,63)</f>
        <v>2</v>
      </c>
      <c r="V22" s="374"/>
      <c r="W22" s="373">
        <f>VLOOKUP($S2,Schlüssel!$A$5:$DQ$10,64)</f>
        <v>2</v>
      </c>
      <c r="X22" s="374"/>
      <c r="Y22" s="373">
        <f>VLOOKUP($S2,Schlüssel!$A$5:$DQ$10,65)</f>
        <v>2</v>
      </c>
      <c r="Z22" s="374"/>
      <c r="AA22" s="373">
        <f>VLOOKUP($S2,Schlüssel!$A$5:$DQ$10,66)</f>
        <v>2</v>
      </c>
      <c r="AB22" s="374"/>
      <c r="AC22" s="373">
        <f>VLOOKUP($S2,Schlüssel!$A$5:$DQ$10,67)</f>
        <v>2</v>
      </c>
      <c r="AD22" s="374"/>
      <c r="AE22" s="373">
        <f>VLOOKUP($S2,Schlüssel!$A$5:$DQ$10,68)</f>
        <v>2</v>
      </c>
      <c r="AF22" s="374"/>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1" t="str">
        <f t="shared" si="25"/>
        <v>BC Phönix Lauf</v>
      </c>
      <c r="E23" s="352" t="str">
        <f t="shared" si="25"/>
        <v/>
      </c>
      <c r="F23" s="351" t="str">
        <f t="shared" si="25"/>
        <v>BC Phönix Lauf</v>
      </c>
      <c r="G23" s="352" t="str">
        <f t="shared" si="25"/>
        <v/>
      </c>
      <c r="H23" s="351" t="str">
        <f t="shared" si="25"/>
        <v>BC Phönix Lauf</v>
      </c>
      <c r="I23" s="352" t="str">
        <f t="shared" si="25"/>
        <v/>
      </c>
      <c r="J23" s="351" t="str">
        <f t="shared" si="25"/>
        <v>BC Phönix Lauf</v>
      </c>
      <c r="K23" s="352" t="str">
        <f t="shared" si="25"/>
        <v/>
      </c>
      <c r="L23" s="351" t="str">
        <f>IF(AC23=0,"",AC23)</f>
        <v>BC Phönix Lauf</v>
      </c>
      <c r="M23" s="352" t="str">
        <f>IF(AD23=0,"",AD23)</f>
        <v/>
      </c>
      <c r="N23" s="353"/>
      <c r="O23" s="353"/>
      <c r="S23" s="4"/>
      <c r="T23" s="1"/>
      <c r="U23" s="351" t="str">
        <f>VLOOKUP(U22,Schlüssel!$A$5:$K$10,2)</f>
        <v>BC Phönix Lauf</v>
      </c>
      <c r="V23" s="352"/>
      <c r="W23" s="351" t="str">
        <f>VLOOKUP(W22,Schlüssel!$A$5:$K$10,2)</f>
        <v>BC Phönix Lauf</v>
      </c>
      <c r="X23" s="352"/>
      <c r="Y23" s="351" t="str">
        <f>VLOOKUP(Y22,Schlüssel!$A$5:$K$10,2)</f>
        <v>BC Phönix Lauf</v>
      </c>
      <c r="Z23" s="352"/>
      <c r="AA23" s="351" t="str">
        <f>VLOOKUP(AA22,Schlüssel!$A$5:$K$10,2)</f>
        <v>BC Phönix Lauf</v>
      </c>
      <c r="AB23" s="352"/>
      <c r="AC23" s="351" t="str">
        <f>VLOOKUP(AC22,Schlüssel!$A$5:$K$10,2)</f>
        <v>BC Phönix Lauf</v>
      </c>
      <c r="AD23" s="352"/>
      <c r="AE23" s="351" t="str">
        <f>VLOOKUP(AE22,Schlüssel!$A$5:$K$10,2)</f>
        <v>BC Phönix Lauf</v>
      </c>
      <c r="AF23" s="35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50" t="str">
        <f t="shared" si="25"/>
        <v/>
      </c>
      <c r="E24" s="350" t="str">
        <f t="shared" si="25"/>
        <v/>
      </c>
      <c r="F24" s="350" t="str">
        <f t="shared" si="25"/>
        <v/>
      </c>
      <c r="G24" s="350" t="str">
        <f t="shared" si="25"/>
        <v/>
      </c>
      <c r="H24" s="350" t="str">
        <f t="shared" si="25"/>
        <v/>
      </c>
      <c r="I24" s="350" t="str">
        <f t="shared" si="25"/>
        <v/>
      </c>
      <c r="J24" s="350" t="str">
        <f t="shared" si="25"/>
        <v/>
      </c>
      <c r="K24" s="350" t="str">
        <f t="shared" si="25"/>
        <v/>
      </c>
      <c r="L24" s="350" t="str">
        <f>IF(AC24=0,"",AC24)</f>
        <v/>
      </c>
      <c r="M24" s="350"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5" t="str">
        <f t="shared" ref="B25:C29" si="26">IF(S25=0,"",S25)</f>
        <v>Spieler 1</v>
      </c>
      <c r="C25" s="376" t="str">
        <f t="shared" si="26"/>
        <v/>
      </c>
      <c r="D25" s="348">
        <f>IF(U25=301,"",U25)</f>
        <v>183</v>
      </c>
      <c r="E25" s="348" t="str">
        <f>IF(V25=0,"",V25)</f>
        <v/>
      </c>
      <c r="F25" s="348">
        <f>IF(W25=301,"",W25)</f>
        <v>124</v>
      </c>
      <c r="G25" s="348" t="str">
        <f>IF(X25=0,"",X25)</f>
        <v/>
      </c>
      <c r="H25" s="348">
        <f>IF(Y25=301,"",Y25)</f>
        <v>162</v>
      </c>
      <c r="I25" s="348" t="str">
        <f>IF(Z25=0,"",Z25)</f>
        <v/>
      </c>
      <c r="J25" s="348">
        <f>IF(AA25=301,"",AA25)</f>
        <v>163</v>
      </c>
      <c r="K25" s="348" t="str">
        <f>IF(AB25=0,"",AB25)</f>
        <v/>
      </c>
      <c r="L25" s="348">
        <f>IF(AC25=301,"",AC25)</f>
        <v>136</v>
      </c>
      <c r="M25" s="348" t="str">
        <f>IF(AD25=0,"",AD25)</f>
        <v/>
      </c>
      <c r="N25" s="349"/>
      <c r="O25" s="349"/>
      <c r="S25" s="35" t="s">
        <v>0</v>
      </c>
      <c r="T25" s="36"/>
      <c r="U25" s="371">
        <f>ABS(INDEX(U:U,MATCH(U22,$S:$S,0)+5)+INDEX(U:U,MATCH(U22,$S:$S,0)+6)+INDEX(U:U,MATCH(U22,$S:$S,0)+7))</f>
        <v>183</v>
      </c>
      <c r="V25" s="372"/>
      <c r="W25" s="371">
        <f>ABS(INDEX(W:W,MATCH(W22,$S:$S,0)+5)+INDEX(W:W,MATCH(W22,$S:$S,0)+6)+INDEX(W:W,MATCH(W22,$S:$S,0)+7))</f>
        <v>124</v>
      </c>
      <c r="X25" s="372"/>
      <c r="Y25" s="371">
        <f>ABS(INDEX(Y:Y,MATCH(Y22,$S:$S,0)+5)+INDEX(Y:Y,MATCH(Y22,$S:$S,0)+6)+INDEX(Y:Y,MATCH(Y22,$S:$S,0)+7))</f>
        <v>162</v>
      </c>
      <c r="Z25" s="372"/>
      <c r="AA25" s="371">
        <f>ABS(INDEX(AA:AA,MATCH(AA22,$S:$S,0)+5)+INDEX(AA:AA,MATCH(AA22,$S:$S,0)+6)+INDEX(AA:AA,MATCH(AA22,$S:$S,0)+7))</f>
        <v>163</v>
      </c>
      <c r="AB25" s="372"/>
      <c r="AC25" s="371">
        <f>ABS(INDEX(AC:AC,MATCH(AC22,$S:$S,0)+5)+INDEX(AC:AC,MATCH(AC22,$S:$S,0)+6)+INDEX(AC:AC,MATCH(AC22,$S:$S,0)+7))</f>
        <v>136</v>
      </c>
      <c r="AD25" s="372"/>
      <c r="AE25" s="371">
        <f>ABS(INDEX(AE:AE,MATCH(AE22,$S:$S,0)+5)+INDEX(AE:AE,MATCH(AE22,$S:$S,0)+6)+INDEX(AE:AE,MATCH(AE22,$S:$S,0)+7))</f>
        <v>177</v>
      </c>
      <c r="AF25" s="372"/>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5" t="str">
        <f t="shared" si="26"/>
        <v>Spieler 2</v>
      </c>
      <c r="C26" s="376" t="str">
        <f t="shared" si="26"/>
        <v/>
      </c>
      <c r="D26" s="348">
        <f>IF(U26=301,"",U26)</f>
        <v>160</v>
      </c>
      <c r="E26" s="348" t="str">
        <f>IF(V26=0,"",V26)</f>
        <v/>
      </c>
      <c r="F26" s="348">
        <f>IF(W26=301,"",W26)</f>
        <v>191</v>
      </c>
      <c r="G26" s="348" t="str">
        <f>IF(X26=0,"",X26)</f>
        <v/>
      </c>
      <c r="H26" s="348">
        <f>IF(Y26=301,"",Y26)</f>
        <v>164</v>
      </c>
      <c r="I26" s="348" t="str">
        <f>IF(Z26=0,"",Z26)</f>
        <v/>
      </c>
      <c r="J26" s="348">
        <f>IF(AA26=301,"",AA26)</f>
        <v>170</v>
      </c>
      <c r="K26" s="348" t="str">
        <f>IF(AB26=0,"",AB26)</f>
        <v/>
      </c>
      <c r="L26" s="348">
        <f>IF(AC26=301,"",AC26)</f>
        <v>190</v>
      </c>
      <c r="M26" s="348" t="str">
        <f>IF(AD26=0,"",AD26)</f>
        <v/>
      </c>
      <c r="N26" s="349"/>
      <c r="O26" s="349"/>
      <c r="S26" s="35" t="s">
        <v>2</v>
      </c>
      <c r="T26" s="36"/>
      <c r="U26" s="369">
        <f>ABS(INDEX(U:U,MATCH(U22,$S:$S,0)+8)+INDEX(U:U,MATCH(U22,$S:$S,0)+9)+INDEX(U:U,MATCH(U22,$S:$S,0)+10))</f>
        <v>160</v>
      </c>
      <c r="V26" s="370"/>
      <c r="W26" s="369">
        <f>ABS(INDEX(W:W,MATCH(W22,$S:$S,0)+8)+INDEX(W:W,MATCH(W22,$S:$S,0)+9)+INDEX(W:W,MATCH(W22,$S:$S,0)+10))</f>
        <v>191</v>
      </c>
      <c r="X26" s="370"/>
      <c r="Y26" s="369">
        <f>ABS(INDEX(Y:Y,MATCH(Y22,$S:$S,0)+8)+INDEX(Y:Y,MATCH(Y22,$S:$S,0)+9)+INDEX(Y:Y,MATCH(Y22,$S:$S,0)+10))</f>
        <v>164</v>
      </c>
      <c r="Z26" s="370"/>
      <c r="AA26" s="369">
        <f>ABS(INDEX(AA:AA,MATCH(AA22,$S:$S,0)+8)+INDEX(AA:AA,MATCH(AA22,$S:$S,0)+9)+INDEX(AA:AA,MATCH(AA22,$S:$S,0)+10))</f>
        <v>170</v>
      </c>
      <c r="AB26" s="370"/>
      <c r="AC26" s="369">
        <f>ABS(INDEX(AC:AC,MATCH(AC22,$S:$S,0)+8)+INDEX(AC:AC,MATCH(AC22,$S:$S,0)+9)+INDEX(AC:AC,MATCH(AC22,$S:$S,0)+10))</f>
        <v>190</v>
      </c>
      <c r="AD26" s="370"/>
      <c r="AE26" s="369">
        <f>ABS(INDEX(AE:AE,MATCH(AE22,$S:$S,0)+8)+INDEX(AE:AE,MATCH(AE22,$S:$S,0)+9)+INDEX(AE:AE,MATCH(AE22,$S:$S,0)+10))</f>
        <v>154</v>
      </c>
      <c r="AF26" s="370"/>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5" t="str">
        <f t="shared" si="26"/>
        <v>Spieler 3</v>
      </c>
      <c r="C27" s="376" t="str">
        <f t="shared" si="26"/>
        <v/>
      </c>
      <c r="D27" s="348">
        <f>IF(U27=301,"",U27)</f>
        <v>152</v>
      </c>
      <c r="E27" s="348" t="str">
        <f>IF(V27=0,"",V27)</f>
        <v/>
      </c>
      <c r="F27" s="348">
        <f>IF(W27=301,"",W27)</f>
        <v>167</v>
      </c>
      <c r="G27" s="348" t="str">
        <f>IF(X27=0,"",X27)</f>
        <v/>
      </c>
      <c r="H27" s="348">
        <f>IF(Y27=301,"",Y27)</f>
        <v>129</v>
      </c>
      <c r="I27" s="348" t="str">
        <f>IF(Z27=0,"",Z27)</f>
        <v/>
      </c>
      <c r="J27" s="348">
        <f>IF(AA27=301,"",AA27)</f>
        <v>129</v>
      </c>
      <c r="K27" s="348" t="str">
        <f>IF(AB27=0,"",AB27)</f>
        <v/>
      </c>
      <c r="L27" s="348">
        <f>IF(AC27=301,"",AC27)</f>
        <v>153</v>
      </c>
      <c r="M27" s="348" t="str">
        <f>IF(AD27=0,"",AD27)</f>
        <v/>
      </c>
      <c r="N27" s="349"/>
      <c r="O27" s="349"/>
      <c r="S27" s="35" t="s">
        <v>3</v>
      </c>
      <c r="T27" s="36"/>
      <c r="U27" s="369">
        <f>ABS(INDEX(U:U,MATCH(U22,$S:$S,0)+11)+INDEX(U:U,MATCH(U22,$S:$S,0)+12)+INDEX(U:U,MATCH(U22,$S:$S,0)+13))</f>
        <v>152</v>
      </c>
      <c r="V27" s="370"/>
      <c r="W27" s="369">
        <f>ABS(INDEX(W:W,MATCH(W22,$S:$S,0)+11)+INDEX(W:W,MATCH(W22,$S:$S,0)+12)+INDEX(W:W,MATCH(W22,$S:$S,0)+13))</f>
        <v>167</v>
      </c>
      <c r="X27" s="370"/>
      <c r="Y27" s="369">
        <f>ABS(INDEX(Y:Y,MATCH(Y22,$S:$S,0)+11)+INDEX(Y:Y,MATCH(Y22,$S:$S,0)+12)+INDEX(Y:Y,MATCH(Y22,$S:$S,0)+13))</f>
        <v>129</v>
      </c>
      <c r="Z27" s="370"/>
      <c r="AA27" s="369">
        <f>ABS(INDEX(AA:AA,MATCH(AA22,$S:$S,0)+11)+INDEX(AA:AA,MATCH(AA22,$S:$S,0)+12)+INDEX(AA:AA,MATCH(AA22,$S:$S,0)+13))</f>
        <v>129</v>
      </c>
      <c r="AB27" s="370"/>
      <c r="AC27" s="369">
        <f>ABS(INDEX(AC:AC,MATCH(AC22,$S:$S,0)+11)+INDEX(AC:AC,MATCH(AC22,$S:$S,0)+12)+INDEX(AC:AC,MATCH(AC22,$S:$S,0)+13))</f>
        <v>153</v>
      </c>
      <c r="AD27" s="370"/>
      <c r="AE27" s="369">
        <f>ABS(INDEX(AE:AE,MATCH(AE22,$S:$S,0)+11)+INDEX(AE:AE,MATCH(AE22,$S:$S,0)+12)+INDEX(AE:AE,MATCH(AE22,$S:$S,0)+13))</f>
        <v>134</v>
      </c>
      <c r="AF27" s="370"/>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5" t="str">
        <f t="shared" si="26"/>
        <v>Spieler 4</v>
      </c>
      <c r="C28" s="376" t="str">
        <f t="shared" si="26"/>
        <v/>
      </c>
      <c r="D28" s="348">
        <f>IF(U28=301,"",U28)</f>
        <v>158</v>
      </c>
      <c r="E28" s="348" t="str">
        <f>IF(V28=0,"",V28)</f>
        <v/>
      </c>
      <c r="F28" s="348">
        <f>IF(W28=301,"",W28)</f>
        <v>167</v>
      </c>
      <c r="G28" s="348" t="str">
        <f>IF(X28=0,"",X28)</f>
        <v/>
      </c>
      <c r="H28" s="348">
        <f>IF(Y28=301,"",Y28)</f>
        <v>212</v>
      </c>
      <c r="I28" s="348" t="str">
        <f>IF(Z28=0,"",Z28)</f>
        <v/>
      </c>
      <c r="J28" s="348">
        <f>IF(AA28=301,"",AA28)</f>
        <v>195</v>
      </c>
      <c r="K28" s="348" t="str">
        <f>IF(AB28=0,"",AB28)</f>
        <v/>
      </c>
      <c r="L28" s="348">
        <f>IF(AC28=301,"",AC28)</f>
        <v>203</v>
      </c>
      <c r="M28" s="348" t="str">
        <f>IF(AD28=0,"",AD28)</f>
        <v/>
      </c>
      <c r="N28" s="349"/>
      <c r="O28" s="349"/>
      <c r="S28" s="35" t="s">
        <v>11</v>
      </c>
      <c r="T28" s="36"/>
      <c r="U28" s="369">
        <f>ABS(INDEX(U:U,MATCH(U22,$S:$S,0)+14)+INDEX(U:U,MATCH(U22,$S:$S,0)+15)+INDEX(U:U,MATCH(U22,$S:$S,0)+16))</f>
        <v>158</v>
      </c>
      <c r="V28" s="370"/>
      <c r="W28" s="369">
        <f>ABS(INDEX(W:W,MATCH(W22,$S:$S,0)+14)+INDEX(W:W,MATCH(W22,$S:$S,0)+15)+INDEX(W:W,MATCH(W22,$S:$S,0)+16))</f>
        <v>167</v>
      </c>
      <c r="X28" s="370"/>
      <c r="Y28" s="369">
        <f>ABS(INDEX(Y:Y,MATCH(Y22,$S:$S,0)+14)+INDEX(Y:Y,MATCH(Y22,$S:$S,0)+15)+INDEX(Y:Y,MATCH(Y22,$S:$S,0)+16))</f>
        <v>212</v>
      </c>
      <c r="Z28" s="370"/>
      <c r="AA28" s="369">
        <f>ABS(INDEX(AA:AA,MATCH(AA22,$S:$S,0)+14)+INDEX(AA:AA,MATCH(AA22,$S:$S,0)+15)+INDEX(AA:AA,MATCH(AA22,$S:$S,0)+16))</f>
        <v>195</v>
      </c>
      <c r="AB28" s="370"/>
      <c r="AC28" s="369">
        <f>ABS(INDEX(AC:AC,MATCH(AC22,$S:$S,0)+14)+INDEX(AC:AC,MATCH(AC22,$S:$S,0)+15)+INDEX(AC:AC,MATCH(AC22,$S:$S,0)+16))</f>
        <v>203</v>
      </c>
      <c r="AD28" s="370"/>
      <c r="AE28" s="369">
        <f>ABS(INDEX(AE:AE,MATCH(AE22,$S:$S,0)+14)+INDEX(AE:AE,MATCH(AE22,$S:$S,0)+15)+INDEX(AE:AE,MATCH(AE22,$S:$S,0)+16))</f>
        <v>160</v>
      </c>
      <c r="AF28" s="370"/>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3" t="str">
        <f t="shared" si="26"/>
        <v>Gesamt</v>
      </c>
      <c r="C29" s="364" t="str">
        <f t="shared" si="26"/>
        <v/>
      </c>
      <c r="D29" s="347">
        <f>IF(U29=1505,"",U29)</f>
        <v>653</v>
      </c>
      <c r="E29" s="347" t="str">
        <f>IF(V29=0,"",V29)</f>
        <v/>
      </c>
      <c r="F29" s="347">
        <f>IF(W29=1505,"",W29)</f>
        <v>649</v>
      </c>
      <c r="G29" s="347" t="str">
        <f>IF(X29=0,"",X29)</f>
        <v/>
      </c>
      <c r="H29" s="347">
        <f>IF(Y29=1505,"",Y29)</f>
        <v>667</v>
      </c>
      <c r="I29" s="347" t="str">
        <f>IF(Z29=0,"",Z29)</f>
        <v/>
      </c>
      <c r="J29" s="347">
        <f>IF(AA29=1505,"",AA29)</f>
        <v>657</v>
      </c>
      <c r="K29" s="347" t="str">
        <f>IF(AB29=0,"",AB29)</f>
        <v/>
      </c>
      <c r="L29" s="347">
        <f>IF(AC29=1505,"",AC29)</f>
        <v>682</v>
      </c>
      <c r="M29" s="347" t="str">
        <f>IF(AD29=0,"",AD29)</f>
        <v/>
      </c>
      <c r="N29" s="312"/>
      <c r="O29" s="312"/>
      <c r="S29" s="37" t="s">
        <v>1788</v>
      </c>
      <c r="T29" s="38"/>
      <c r="U29" s="363">
        <f>SUM(U25:U28)</f>
        <v>653</v>
      </c>
      <c r="V29" s="364"/>
      <c r="W29" s="363">
        <f>SUM(W25:W28)</f>
        <v>649</v>
      </c>
      <c r="X29" s="364"/>
      <c r="Y29" s="363">
        <f>SUM(Y25:Y28)</f>
        <v>667</v>
      </c>
      <c r="Z29" s="364"/>
      <c r="AA29" s="363">
        <f>SUM(AA25:AA28)</f>
        <v>657</v>
      </c>
      <c r="AB29" s="364"/>
      <c r="AC29" s="363">
        <f>SUM(AC25:AC28)</f>
        <v>682</v>
      </c>
      <c r="AD29" s="364"/>
      <c r="AE29" s="363">
        <f>SUM(AE25:AE28)</f>
        <v>625</v>
      </c>
      <c r="AF29" s="364"/>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80" t="str">
        <f>Schlüssel!$BU$1</f>
        <v>16.03.</v>
      </c>
      <c r="N31" s="380"/>
      <c r="O31" s="380"/>
      <c r="P31" s="381"/>
      <c r="Q31" s="381"/>
      <c r="R31" s="381"/>
      <c r="S31" s="7" t="s">
        <v>1798</v>
      </c>
      <c r="T31" s="25"/>
      <c r="U31" s="30" t="s">
        <v>1782</v>
      </c>
      <c r="V31" s="76" t="str">
        <f>Schlüssel!$C$1</f>
        <v>Landesliga Nord Frauen</v>
      </c>
      <c r="X31" s="25"/>
      <c r="Y31" s="25"/>
      <c r="Z31" s="25"/>
      <c r="AA31" s="25"/>
      <c r="AC31" s="29"/>
      <c r="AD31" s="362" t="str">
        <f>Schlüssel!$BU$1</f>
        <v>16.03.</v>
      </c>
      <c r="AE31" s="362"/>
      <c r="AF31" s="362"/>
      <c r="AG31" s="362"/>
      <c r="AH31" s="362"/>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19</v>
      </c>
      <c r="W34" s="192" t="s">
        <v>10</v>
      </c>
      <c r="X34" s="190">
        <f>VLOOKUP(S32,Schlüssel!$A$5:$DF$10,74)</f>
        <v>20</v>
      </c>
      <c r="Y34" s="192" t="s">
        <v>10</v>
      </c>
      <c r="Z34" s="190">
        <f>VLOOKUP(S32,Schlüssel!$A$5:$DF$10,75)</f>
        <v>19</v>
      </c>
      <c r="AA34" s="192" t="s">
        <v>10</v>
      </c>
      <c r="AB34" s="190">
        <f>VLOOKUP(S32,Schlüssel!$A$5:$DF$10,76)</f>
        <v>20</v>
      </c>
      <c r="AC34" s="192" t="s">
        <v>10</v>
      </c>
      <c r="AD34" s="191">
        <f>VLOOKUP(S32,Schlüssel!$A$5:$DF$10,77)</f>
        <v>19</v>
      </c>
      <c r="AE34" s="192" t="s">
        <v>10</v>
      </c>
      <c r="AF34" s="191">
        <f>VLOOKUP(S32,Schlüssel!$A$5:$DF$10,78)</f>
        <v>20</v>
      </c>
      <c r="BA34" s="220"/>
      <c r="BB34" s="221"/>
      <c r="BC34" s="222"/>
      <c r="BN34" s="224"/>
      <c r="BO34" s="222"/>
      <c r="BS34" s="222"/>
      <c r="BT34" s="224"/>
      <c r="BW34" s="222"/>
    </row>
    <row r="35" spans="1:75" ht="20.25" customHeight="1" x14ac:dyDescent="0.25">
      <c r="B35" s="40" t="s">
        <v>1</v>
      </c>
      <c r="C35" s="41"/>
      <c r="D35" s="363" t="s">
        <v>1789</v>
      </c>
      <c r="E35" s="364"/>
      <c r="F35" s="363" t="s">
        <v>1790</v>
      </c>
      <c r="G35" s="364"/>
      <c r="H35" s="363" t="s">
        <v>1791</v>
      </c>
      <c r="I35" s="364"/>
      <c r="J35" s="363" t="s">
        <v>1792</v>
      </c>
      <c r="K35" s="364"/>
      <c r="L35" s="363" t="s">
        <v>1793</v>
      </c>
      <c r="M35" s="364"/>
      <c r="N35" s="365" t="s">
        <v>1788</v>
      </c>
      <c r="O35" s="366"/>
      <c r="S35" s="40" t="s">
        <v>1</v>
      </c>
      <c r="T35" s="41"/>
      <c r="U35" s="363" t="s">
        <v>1789</v>
      </c>
      <c r="V35" s="364"/>
      <c r="W35" s="363" t="s">
        <v>1790</v>
      </c>
      <c r="X35" s="364"/>
      <c r="Y35" s="363" t="s">
        <v>1791</v>
      </c>
      <c r="Z35" s="364"/>
      <c r="AA35" s="363" t="s">
        <v>1792</v>
      </c>
      <c r="AB35" s="364"/>
      <c r="AC35" s="363" t="s">
        <v>1793</v>
      </c>
      <c r="AD35" s="368"/>
      <c r="AE35" s="363" t="s">
        <v>2088</v>
      </c>
      <c r="AF35" s="368"/>
      <c r="AG35" s="367" t="s">
        <v>1788</v>
      </c>
      <c r="AH35" s="36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7" t="s">
        <v>0</v>
      </c>
      <c r="B37" s="17" t="str">
        <f>IF(S37=0,"",S37)</f>
        <v>Schulz-Burkert, Roswitha</v>
      </c>
      <c r="C37" s="18">
        <f>IF(T37=0,"",T37)</f>
        <v>25347</v>
      </c>
      <c r="D37" s="14">
        <f>IF(U37=0,"",U37)</f>
        <v>183</v>
      </c>
      <c r="E37" s="356">
        <f>IF(V37="","",V37)</f>
        <v>1</v>
      </c>
      <c r="F37" s="14">
        <f t="shared" ref="F37:F50" si="27">IF(W37=0,"",W37)</f>
        <v>124</v>
      </c>
      <c r="G37" s="356">
        <f>IF(X37="","",X37)</f>
        <v>0</v>
      </c>
      <c r="H37" s="14">
        <f t="shared" ref="H37:H50" si="28">IF(Y37=0,"",Y37)</f>
        <v>162</v>
      </c>
      <c r="I37" s="356">
        <f>IF(Z37="","",Z37)</f>
        <v>1</v>
      </c>
      <c r="J37" s="14">
        <f t="shared" ref="J37:J50" si="29">IF(AA37=0,"",AA37)</f>
        <v>163</v>
      </c>
      <c r="K37" s="356">
        <f>IF(AB37="","",AB37)</f>
        <v>1</v>
      </c>
      <c r="L37" s="14">
        <f t="shared" ref="L37:L50" si="30">IF(AC37=0,"",AC37)</f>
        <v>136</v>
      </c>
      <c r="M37" s="356">
        <f>IF(AD37="","",AD37)</f>
        <v>0</v>
      </c>
      <c r="N37" s="14">
        <f t="shared" ref="N37:N50" si="31">IF(AG37=0,"",AG37)</f>
        <v>945</v>
      </c>
      <c r="O37" s="356">
        <f>IF(AH37="","",AH37)</f>
        <v>4</v>
      </c>
      <c r="R37" s="359" t="s">
        <v>0</v>
      </c>
      <c r="S37" s="67" t="str">
        <f>IF(T37=0,"",VLOOKUP(T37,Starter!$A$1:$D$187,2,FALSE))</f>
        <v>Schulz-Burkert, Roswitha</v>
      </c>
      <c r="T37" s="174">
        <v>25347</v>
      </c>
      <c r="U37" s="182">
        <v>183</v>
      </c>
      <c r="V37" s="95">
        <f>IF(SUM(U37:U39)+U55=0,0,IF(ABS(SUM(U37:U39))=U55,0.5,IF(ABS(SUM(U37:U39))&gt;U55,1,0)))</f>
        <v>1</v>
      </c>
      <c r="W37" s="182">
        <v>124</v>
      </c>
      <c r="X37" s="95">
        <f>IF(SUM(W37:W39)+W55=0,0,IF(ABS(SUM(W37:W39))=W55,0.5,IF(ABS(SUM(W37:W39))&gt;W55,1,0)))</f>
        <v>0</v>
      </c>
      <c r="Y37" s="182">
        <v>162</v>
      </c>
      <c r="Z37" s="95">
        <f>IF(SUM(Y37:Y39)+Y55=0,0,IF(ABS(SUM(Y37:Y39))=Y55,0.5,IF(ABS(SUM(Y37:Y39))&gt;Y55,1,0)))</f>
        <v>1</v>
      </c>
      <c r="AA37" s="188">
        <v>163</v>
      </c>
      <c r="AB37" s="95">
        <f>IF(SUM(AA37:AA39)+AA55=0,0,IF(ABS(SUM(AA37:AA39))=AA55,0.5,IF(ABS(SUM(AA37:AA39))&gt;AA55,1,0)))</f>
        <v>1</v>
      </c>
      <c r="AC37" s="182">
        <v>136</v>
      </c>
      <c r="AD37" s="95">
        <f>IF(SUM(AC37:AC39)+AC55=0,0,IF(ABS(SUM(AC37:AC39))=AC55,0.5,IF(ABS(SUM(AC37:AC39))&gt;AC55,1,0)))</f>
        <v>0</v>
      </c>
      <c r="AE37" s="182">
        <v>177</v>
      </c>
      <c r="AF37" s="95">
        <f>IF(SUM(AE37:AE39)+AE55=0,0,IF(ABS(SUM(AE37:AE39))=AE55,0.5,IF(ABS(SUM(AE37:AE39))&gt;AE55,1,0)))</f>
        <v>1</v>
      </c>
      <c r="AG37" s="194">
        <f t="shared" ref="AG37:AG48" si="32">ABS(SUM(U37:U37))+ABS(SUM(W37:W37))+ABS(SUM(Y37:Y37))+ABS(SUM(AA37:AA37))+ABS(SUM(AC37:AC37))+ABS(SUM(AE37:AE37))</f>
        <v>945</v>
      </c>
      <c r="AH37" s="179">
        <f>SUM(V37+X37+Z37+AB37+AD37+AF37)</f>
        <v>4</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945</v>
      </c>
      <c r="BF37" s="223">
        <f t="shared" ref="BF37:BF48" si="35">COUNT(BH37:BM37)</f>
        <v>6</v>
      </c>
      <c r="BG37" s="223">
        <f t="shared" ref="BG37:BG48" si="36">COUNTIF(BH37:BM37,"&gt;0")</f>
        <v>6</v>
      </c>
      <c r="BH37" s="223">
        <f t="shared" ref="BH37:BH48" si="37">IF(U37=0,"",U37)</f>
        <v>183</v>
      </c>
      <c r="BI37" s="223">
        <f t="shared" ref="BI37:BI48" si="38">IF(W37=0,"",W37)</f>
        <v>124</v>
      </c>
      <c r="BJ37" s="223">
        <f t="shared" ref="BJ37:BJ48" si="39">IF(Y37=0,"",Y37)</f>
        <v>162</v>
      </c>
      <c r="BK37" s="223">
        <f t="shared" ref="BK37:BK48" si="40">IF(AA37=0,"",AA37)</f>
        <v>163</v>
      </c>
      <c r="BL37" s="223">
        <f t="shared" ref="BL37:BL48" si="41">IF(AC37=0,"",AC37)</f>
        <v>136</v>
      </c>
      <c r="BM37" s="223">
        <f t="shared" ref="BM37:BM48" si="42">IF(AE37=0,"",AE37)</f>
        <v>177</v>
      </c>
      <c r="BN37" s="224"/>
      <c r="BO37" s="222"/>
      <c r="BP37" s="223">
        <f t="shared" ref="BP37:BP48" si="43">MAX(BH37:BM37)</f>
        <v>183</v>
      </c>
      <c r="BQ37" s="223">
        <f t="shared" ref="BQ37:BQ48" si="44">IF(BP37&lt;MAX(BP:BP),0,BP37+ROW()/1000000000)</f>
        <v>0</v>
      </c>
      <c r="BR37" s="223" t="str">
        <f>+S33</f>
        <v>BC Phönix Lauf</v>
      </c>
      <c r="BS37" s="222">
        <f t="shared" ref="BS37:BS48" si="45">RANK(BQ37,BQ:BQ)</f>
        <v>2</v>
      </c>
      <c r="BT37" s="223">
        <f>SUMIF(BH37:BM37,"&gt;0")</f>
        <v>945</v>
      </c>
      <c r="BU37" s="223">
        <f>IF(COUNTIF(BH37:BM37,"&gt;0")&lt;Spielorte!$A$23,0,BE37/Spielorte!$A$23)</f>
        <v>157.5</v>
      </c>
      <c r="BV37" s="223">
        <f>IF(BU37&lt;MAX(BU:BU),0,BU37+ROW()/1000000000)</f>
        <v>0</v>
      </c>
      <c r="BW37" s="222">
        <f>IF(BV37=0,0,RANK(BV37,BV:BV))</f>
        <v>0</v>
      </c>
    </row>
    <row r="38" spans="1:75" ht="17.100000000000001" customHeight="1" x14ac:dyDescent="0.25">
      <c r="A38" s="378"/>
      <c r="B38" s="19" t="str">
        <f t="shared" ref="B38:D50" si="46">IF(S38=0,"",S38)</f>
        <v/>
      </c>
      <c r="C38" s="20" t="str">
        <f t="shared" si="46"/>
        <v/>
      </c>
      <c r="D38" s="15" t="str">
        <f t="shared" si="46"/>
        <v/>
      </c>
      <c r="E38" s="357"/>
      <c r="F38" s="15" t="str">
        <f t="shared" si="27"/>
        <v/>
      </c>
      <c r="G38" s="357"/>
      <c r="H38" s="15" t="str">
        <f t="shared" si="28"/>
        <v/>
      </c>
      <c r="I38" s="357"/>
      <c r="J38" s="15" t="str">
        <f t="shared" si="29"/>
        <v/>
      </c>
      <c r="K38" s="357"/>
      <c r="L38" s="15" t="str">
        <f t="shared" si="30"/>
        <v/>
      </c>
      <c r="M38" s="357"/>
      <c r="N38" s="15" t="str">
        <f t="shared" si="31"/>
        <v/>
      </c>
      <c r="O38" s="357"/>
      <c r="R38" s="360"/>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7">+BR37</f>
        <v>BC Phönix Lauf</v>
      </c>
      <c r="BS38" s="222">
        <f t="shared" si="45"/>
        <v>2</v>
      </c>
      <c r="BT38" s="223">
        <f t="shared" ref="BT38:BT48" si="48">SUMIF(BH38:BM38,"&gt;0")</f>
        <v>0</v>
      </c>
      <c r="BU38" s="223">
        <f>IF(COUNTIF(BH38:BM38,"&gt;0")&lt;Spielorte!$A$23,0,BE38/Spielorte!$A$23)</f>
        <v>0</v>
      </c>
      <c r="BV38" s="223">
        <f t="shared" ref="BV38:BV48" si="49">IF(BU38&lt;MAX(BU:BU),0,BU38+ROW()/1000000000)</f>
        <v>0</v>
      </c>
      <c r="BW38" s="222">
        <f t="shared" ref="BW38:BW48" si="50">IF(BV38=0,0,RANK(BV38,BV:BV))</f>
        <v>0</v>
      </c>
    </row>
    <row r="39" spans="1:75" ht="17.100000000000001" customHeight="1" thickBot="1" x14ac:dyDescent="0.3">
      <c r="A39" s="379"/>
      <c r="B39" s="21" t="str">
        <f t="shared" si="46"/>
        <v/>
      </c>
      <c r="C39" s="22" t="str">
        <f t="shared" si="46"/>
        <v/>
      </c>
      <c r="D39" s="9" t="str">
        <f t="shared" si="46"/>
        <v/>
      </c>
      <c r="E39" s="358"/>
      <c r="F39" s="9" t="str">
        <f t="shared" si="27"/>
        <v/>
      </c>
      <c r="G39" s="358"/>
      <c r="H39" s="9" t="str">
        <f t="shared" si="28"/>
        <v/>
      </c>
      <c r="I39" s="358"/>
      <c r="J39" s="9" t="str">
        <f t="shared" si="29"/>
        <v/>
      </c>
      <c r="K39" s="358"/>
      <c r="L39" s="9" t="str">
        <f t="shared" si="30"/>
        <v/>
      </c>
      <c r="M39" s="358"/>
      <c r="N39" s="9" t="str">
        <f t="shared" si="31"/>
        <v/>
      </c>
      <c r="O39" s="358"/>
      <c r="R39" s="361"/>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7"/>
        <v>BC Phönix Lauf</v>
      </c>
      <c r="BS39" s="222">
        <f t="shared" si="45"/>
        <v>2</v>
      </c>
      <c r="BT39" s="223">
        <f t="shared" si="48"/>
        <v>0</v>
      </c>
      <c r="BU39" s="223">
        <f>IF(COUNTIF(BH39:BM39,"&gt;0")&lt;Spielorte!$A$23,0,BE39/Spielorte!$A$23)</f>
        <v>0</v>
      </c>
      <c r="BV39" s="223">
        <f t="shared" si="49"/>
        <v>0</v>
      </c>
      <c r="BW39" s="222">
        <f t="shared" si="50"/>
        <v>0</v>
      </c>
    </row>
    <row r="40" spans="1:75" ht="17.100000000000001" customHeight="1" x14ac:dyDescent="0.25">
      <c r="A40" s="377" t="s">
        <v>2</v>
      </c>
      <c r="B40" s="17" t="str">
        <f t="shared" si="46"/>
        <v>Fischer, Marika</v>
      </c>
      <c r="C40" s="18">
        <f t="shared" si="46"/>
        <v>38401</v>
      </c>
      <c r="D40" s="14">
        <f t="shared" si="46"/>
        <v>160</v>
      </c>
      <c r="E40" s="356">
        <f>IF(V40="","",V40)</f>
        <v>0</v>
      </c>
      <c r="F40" s="14">
        <f t="shared" si="27"/>
        <v>191</v>
      </c>
      <c r="G40" s="356">
        <f>IF(X40="","",X40)</f>
        <v>1</v>
      </c>
      <c r="H40" s="14">
        <f t="shared" si="28"/>
        <v>164</v>
      </c>
      <c r="I40" s="356">
        <f>IF(Z40="","",Z40)</f>
        <v>0</v>
      </c>
      <c r="J40" s="14">
        <f t="shared" si="29"/>
        <v>170</v>
      </c>
      <c r="K40" s="356">
        <f>IF(AB40="","",AB40)</f>
        <v>1</v>
      </c>
      <c r="L40" s="14">
        <f t="shared" si="30"/>
        <v>190</v>
      </c>
      <c r="M40" s="356">
        <f>IF(AD40="","",AD40)</f>
        <v>1</v>
      </c>
      <c r="N40" s="14">
        <f t="shared" si="31"/>
        <v>1029</v>
      </c>
      <c r="O40" s="356">
        <f>IF(AH40="","",AH40)</f>
        <v>4</v>
      </c>
      <c r="R40" s="359" t="s">
        <v>2</v>
      </c>
      <c r="S40" s="67" t="str">
        <f>IF(T40=0,"",VLOOKUP(T40,Starter!$A$1:$D$187,2,FALSE))</f>
        <v>Fischer, Marika</v>
      </c>
      <c r="T40" s="177">
        <v>38401</v>
      </c>
      <c r="U40" s="185">
        <v>160</v>
      </c>
      <c r="V40" s="95">
        <f>IF(SUM(U40:U42)+U56=0,0,IF(ABS(SUM(U40:U42))=U56,0.5,IF(ABS(SUM(U40:U42))&gt;U56,1,0)))</f>
        <v>0</v>
      </c>
      <c r="W40" s="185">
        <v>191</v>
      </c>
      <c r="X40" s="95">
        <f>IF(SUM(W40:W42)+W56=0,0,IF(ABS(SUM(W40:W42))=W56,0.5,IF(ABS(SUM(W40:W42))&gt;W56,1,0)))</f>
        <v>1</v>
      </c>
      <c r="Y40" s="185">
        <v>164</v>
      </c>
      <c r="Z40" s="95">
        <f>IF(SUM(Y40:Y42)+Y56=0,0,IF(ABS(SUM(Y40:Y42))=Y56,0.5,IF(ABS(SUM(Y40:Y42))&gt;Y56,1,0)))</f>
        <v>0</v>
      </c>
      <c r="AA40" s="185">
        <v>170</v>
      </c>
      <c r="AB40" s="95">
        <f>IF(SUM(AA40:AA42)+AA56=0,0,IF(ABS(SUM(AA40:AA42))=AA56,0.5,IF(ABS(SUM(AA40:AA42))&gt;AA56,1,0)))</f>
        <v>1</v>
      </c>
      <c r="AC40" s="185">
        <v>190</v>
      </c>
      <c r="AD40" s="95">
        <f>IF(SUM(AC40:AC42)+AC56=0,0,IF(ABS(SUM(AC40:AC42))=AC56,0.5,IF(ABS(SUM(AC40:AC42))&gt;AC56,1,0)))</f>
        <v>1</v>
      </c>
      <c r="AE40" s="185">
        <v>154</v>
      </c>
      <c r="AF40" s="95">
        <f>IF(SUM(AE40:AE42)+AE56=0,0,IF(ABS(SUM(AE40:AE42))=AE56,0.5,IF(ABS(SUM(AE40:AE42))&gt;AE56,1,0)))</f>
        <v>1</v>
      </c>
      <c r="AG40" s="194">
        <f t="shared" si="32"/>
        <v>1029</v>
      </c>
      <c r="AH40" s="179">
        <f>SUM(V40+X40+Z40+AB40+AD40+AF40)</f>
        <v>4</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1029</v>
      </c>
      <c r="BF40" s="223">
        <f t="shared" si="35"/>
        <v>6</v>
      </c>
      <c r="BG40" s="223">
        <f t="shared" si="36"/>
        <v>6</v>
      </c>
      <c r="BH40" s="223">
        <f t="shared" si="37"/>
        <v>160</v>
      </c>
      <c r="BI40" s="223">
        <f t="shared" si="38"/>
        <v>191</v>
      </c>
      <c r="BJ40" s="223">
        <f t="shared" si="39"/>
        <v>164</v>
      </c>
      <c r="BK40" s="223">
        <f t="shared" si="40"/>
        <v>170</v>
      </c>
      <c r="BL40" s="223">
        <f t="shared" si="41"/>
        <v>190</v>
      </c>
      <c r="BM40" s="223">
        <f t="shared" si="42"/>
        <v>154</v>
      </c>
      <c r="BN40" s="224"/>
      <c r="BO40" s="222"/>
      <c r="BP40" s="223">
        <f t="shared" si="43"/>
        <v>191</v>
      </c>
      <c r="BQ40" s="223">
        <f t="shared" si="44"/>
        <v>0</v>
      </c>
      <c r="BR40" s="223" t="str">
        <f t="shared" si="47"/>
        <v>BC Phönix Lauf</v>
      </c>
      <c r="BS40" s="222">
        <f t="shared" si="45"/>
        <v>2</v>
      </c>
      <c r="BT40" s="223">
        <f t="shared" si="48"/>
        <v>1029</v>
      </c>
      <c r="BU40" s="223">
        <f>IF(COUNTIF(BH40:BM40,"&gt;0")&lt;Spielorte!$A$23,0,BE40/Spielorte!$A$23)</f>
        <v>171.5</v>
      </c>
      <c r="BV40" s="223">
        <f t="shared" si="49"/>
        <v>0</v>
      </c>
      <c r="BW40" s="222">
        <f t="shared" si="50"/>
        <v>0</v>
      </c>
    </row>
    <row r="41" spans="1:75" ht="17.100000000000001" customHeight="1" x14ac:dyDescent="0.25">
      <c r="A41" s="378"/>
      <c r="B41" s="19" t="str">
        <f t="shared" si="46"/>
        <v/>
      </c>
      <c r="C41" s="20" t="str">
        <f t="shared" si="46"/>
        <v/>
      </c>
      <c r="D41" s="15" t="str">
        <f t="shared" si="46"/>
        <v/>
      </c>
      <c r="E41" s="357"/>
      <c r="F41" s="15" t="str">
        <f t="shared" si="27"/>
        <v/>
      </c>
      <c r="G41" s="357"/>
      <c r="H41" s="15" t="str">
        <f t="shared" si="28"/>
        <v/>
      </c>
      <c r="I41" s="357"/>
      <c r="J41" s="15" t="str">
        <f t="shared" si="29"/>
        <v/>
      </c>
      <c r="K41" s="357"/>
      <c r="L41" s="15" t="str">
        <f t="shared" si="30"/>
        <v/>
      </c>
      <c r="M41" s="357"/>
      <c r="N41" s="15" t="str">
        <f t="shared" si="31"/>
        <v/>
      </c>
      <c r="O41" s="357"/>
      <c r="R41" s="360"/>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7"/>
        <v>BC Phönix Lauf</v>
      </c>
      <c r="BS41" s="222">
        <f t="shared" si="45"/>
        <v>2</v>
      </c>
      <c r="BT41" s="223">
        <f t="shared" si="48"/>
        <v>0</v>
      </c>
      <c r="BU41" s="223">
        <f>IF(COUNTIF(BH41:BM41,"&gt;0")&lt;Spielorte!$A$23,0,BE41/Spielorte!$A$23)</f>
        <v>0</v>
      </c>
      <c r="BV41" s="223">
        <f t="shared" si="49"/>
        <v>0</v>
      </c>
      <c r="BW41" s="222">
        <f t="shared" si="50"/>
        <v>0</v>
      </c>
    </row>
    <row r="42" spans="1:75" ht="17.100000000000001" customHeight="1" thickBot="1" x14ac:dyDescent="0.3">
      <c r="A42" s="379"/>
      <c r="B42" s="21" t="str">
        <f t="shared" si="46"/>
        <v/>
      </c>
      <c r="C42" s="22" t="str">
        <f t="shared" si="46"/>
        <v/>
      </c>
      <c r="D42" s="9" t="str">
        <f t="shared" si="46"/>
        <v/>
      </c>
      <c r="E42" s="358"/>
      <c r="F42" s="9" t="str">
        <f t="shared" si="27"/>
        <v/>
      </c>
      <c r="G42" s="358"/>
      <c r="H42" s="9" t="str">
        <f t="shared" si="28"/>
        <v/>
      </c>
      <c r="I42" s="358"/>
      <c r="J42" s="9" t="str">
        <f t="shared" si="29"/>
        <v/>
      </c>
      <c r="K42" s="358"/>
      <c r="L42" s="9" t="str">
        <f t="shared" si="30"/>
        <v/>
      </c>
      <c r="M42" s="358"/>
      <c r="N42" s="9" t="str">
        <f t="shared" si="31"/>
        <v/>
      </c>
      <c r="O42" s="358"/>
      <c r="R42" s="361"/>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7"/>
        <v>BC Phönix Lauf</v>
      </c>
      <c r="BS42" s="222">
        <f t="shared" si="45"/>
        <v>2</v>
      </c>
      <c r="BT42" s="223">
        <f t="shared" si="48"/>
        <v>0</v>
      </c>
      <c r="BU42" s="223">
        <f>IF(COUNTIF(BH42:BM42,"&gt;0")&lt;Spielorte!$A$23,0,BE42/Spielorte!$A$23)</f>
        <v>0</v>
      </c>
      <c r="BV42" s="223">
        <f t="shared" si="49"/>
        <v>0</v>
      </c>
      <c r="BW42" s="222">
        <f t="shared" si="50"/>
        <v>0</v>
      </c>
    </row>
    <row r="43" spans="1:75" ht="17.100000000000001" customHeight="1" x14ac:dyDescent="0.25">
      <c r="A43" s="377" t="s">
        <v>3</v>
      </c>
      <c r="B43" s="17" t="e">
        <f t="shared" si="46"/>
        <v>#N/A</v>
      </c>
      <c r="C43" s="18">
        <f t="shared" si="46"/>
        <v>29621</v>
      </c>
      <c r="D43" s="14">
        <f t="shared" si="46"/>
        <v>152</v>
      </c>
      <c r="E43" s="356">
        <f>IF(V43="","",V43)</f>
        <v>0</v>
      </c>
      <c r="F43" s="14">
        <f t="shared" si="27"/>
        <v>167</v>
      </c>
      <c r="G43" s="356">
        <f>IF(X43="","",X43)</f>
        <v>1</v>
      </c>
      <c r="H43" s="14">
        <f t="shared" si="28"/>
        <v>129</v>
      </c>
      <c r="I43" s="356">
        <f>IF(Z43="","",Z43)</f>
        <v>1</v>
      </c>
      <c r="J43" s="14">
        <f t="shared" si="29"/>
        <v>129</v>
      </c>
      <c r="K43" s="356">
        <f>IF(AB43="","",AB43)</f>
        <v>0</v>
      </c>
      <c r="L43" s="14">
        <f t="shared" si="30"/>
        <v>153</v>
      </c>
      <c r="M43" s="356">
        <f>IF(AD43="","",AD43)</f>
        <v>1</v>
      </c>
      <c r="N43" s="14">
        <f t="shared" si="31"/>
        <v>864</v>
      </c>
      <c r="O43" s="356">
        <f>IF(AH43="","",AH43)</f>
        <v>4</v>
      </c>
      <c r="R43" s="359" t="s">
        <v>3</v>
      </c>
      <c r="S43" s="67" t="e">
        <f>IF(T43=0,"",VLOOKUP(T43,Starter!$A$1:$D$187,2,FALSE))</f>
        <v>#N/A</v>
      </c>
      <c r="T43" s="177">
        <v>29621</v>
      </c>
      <c r="U43" s="185">
        <v>152</v>
      </c>
      <c r="V43" s="95">
        <f>IF(SUM(U43:U45)+U57=0,0,IF(ABS(SUM(U43:U45))=U57,0.5,IF(ABS(SUM(U43:U45))&gt;U57,1,0)))</f>
        <v>0</v>
      </c>
      <c r="W43" s="185">
        <v>167</v>
      </c>
      <c r="X43" s="95">
        <f>IF(SUM(W43:W45)+W57=0,0,IF(ABS(SUM(W43:W45))=W57,0.5,IF(ABS(SUM(W43:W45))&gt;W57,1,0)))</f>
        <v>1</v>
      </c>
      <c r="Y43" s="185">
        <v>129</v>
      </c>
      <c r="Z43" s="95">
        <f>IF(SUM(Y43:Y45)+Y57=0,0,IF(ABS(SUM(Y43:Y45))=Y57,0.5,IF(ABS(SUM(Y43:Y45))&gt;Y57,1,0)))</f>
        <v>1</v>
      </c>
      <c r="AA43" s="185">
        <v>129</v>
      </c>
      <c r="AB43" s="95">
        <f>IF(SUM(AA43:AA45)+AA57=0,0,IF(ABS(SUM(AA43:AA45))=AA57,0.5,IF(ABS(SUM(AA43:AA45))&gt;AA57,1,0)))</f>
        <v>0</v>
      </c>
      <c r="AC43" s="185">
        <v>153</v>
      </c>
      <c r="AD43" s="95">
        <f>IF(SUM(AC43:AC45)+AC57=0,0,IF(ABS(SUM(AC43:AC45))=AC57,0.5,IF(ABS(SUM(AC43:AC45))&gt;AC57,1,0)))</f>
        <v>1</v>
      </c>
      <c r="AE43" s="185">
        <v>134</v>
      </c>
      <c r="AF43" s="95">
        <f>IF(SUM(AE43:AE45)+AE57=0,0,IF(ABS(SUM(AE43:AE45))=AE57,0.5,IF(ABS(SUM(AE43:AE45))&gt;AE57,1,0)))</f>
        <v>1</v>
      </c>
      <c r="AG43" s="194">
        <f t="shared" si="32"/>
        <v>864</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29621</v>
      </c>
      <c r="BE43" s="221">
        <f t="shared" si="34"/>
        <v>864</v>
      </c>
      <c r="BF43" s="223">
        <f t="shared" si="35"/>
        <v>6</v>
      </c>
      <c r="BG43" s="223">
        <f t="shared" si="36"/>
        <v>6</v>
      </c>
      <c r="BH43" s="223">
        <f t="shared" si="37"/>
        <v>152</v>
      </c>
      <c r="BI43" s="223">
        <f t="shared" si="38"/>
        <v>167</v>
      </c>
      <c r="BJ43" s="223">
        <f t="shared" si="39"/>
        <v>129</v>
      </c>
      <c r="BK43" s="223">
        <f t="shared" si="40"/>
        <v>129</v>
      </c>
      <c r="BL43" s="223">
        <f t="shared" si="41"/>
        <v>153</v>
      </c>
      <c r="BM43" s="223">
        <f t="shared" si="42"/>
        <v>134</v>
      </c>
      <c r="BN43" s="224"/>
      <c r="BO43" s="222"/>
      <c r="BP43" s="223">
        <f t="shared" si="43"/>
        <v>167</v>
      </c>
      <c r="BQ43" s="223">
        <f t="shared" si="44"/>
        <v>0</v>
      </c>
      <c r="BR43" s="223" t="str">
        <f t="shared" si="47"/>
        <v>BC Phönix Lauf</v>
      </c>
      <c r="BS43" s="222">
        <f t="shared" si="45"/>
        <v>2</v>
      </c>
      <c r="BT43" s="223">
        <f t="shared" si="48"/>
        <v>864</v>
      </c>
      <c r="BU43" s="223">
        <f>IF(COUNTIF(BH43:BM43,"&gt;0")&lt;Spielorte!$A$23,0,BE43/Spielorte!$A$23)</f>
        <v>144</v>
      </c>
      <c r="BV43" s="223">
        <f t="shared" si="49"/>
        <v>0</v>
      </c>
      <c r="BW43" s="222">
        <f t="shared" si="50"/>
        <v>0</v>
      </c>
    </row>
    <row r="44" spans="1:75" ht="17.100000000000001" customHeight="1" x14ac:dyDescent="0.25">
      <c r="A44" s="378"/>
      <c r="B44" s="19" t="str">
        <f t="shared" si="46"/>
        <v/>
      </c>
      <c r="C44" s="20" t="str">
        <f t="shared" si="46"/>
        <v/>
      </c>
      <c r="D44" s="15" t="str">
        <f t="shared" si="46"/>
        <v/>
      </c>
      <c r="E44" s="357"/>
      <c r="F44" s="15" t="str">
        <f t="shared" si="27"/>
        <v/>
      </c>
      <c r="G44" s="357"/>
      <c r="H44" s="15" t="str">
        <f t="shared" si="28"/>
        <v/>
      </c>
      <c r="I44" s="357"/>
      <c r="J44" s="15" t="str">
        <f t="shared" si="29"/>
        <v/>
      </c>
      <c r="K44" s="357"/>
      <c r="L44" s="15" t="str">
        <f t="shared" si="30"/>
        <v/>
      </c>
      <c r="M44" s="357"/>
      <c r="N44" s="15" t="str">
        <f t="shared" si="31"/>
        <v/>
      </c>
      <c r="O44" s="357"/>
      <c r="R44" s="360"/>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7"/>
        <v>BC Phönix Lauf</v>
      </c>
      <c r="BS44" s="222">
        <f t="shared" si="45"/>
        <v>2</v>
      </c>
      <c r="BT44" s="223">
        <f t="shared" si="48"/>
        <v>0</v>
      </c>
      <c r="BU44" s="223">
        <f>IF(COUNTIF(BH44:BM44,"&gt;0")&lt;Spielorte!$A$23,0,BE44/Spielorte!$A$23)</f>
        <v>0</v>
      </c>
      <c r="BV44" s="223">
        <f t="shared" si="49"/>
        <v>0</v>
      </c>
      <c r="BW44" s="222">
        <f t="shared" si="50"/>
        <v>0</v>
      </c>
    </row>
    <row r="45" spans="1:75" ht="17.100000000000001" customHeight="1" thickBot="1" x14ac:dyDescent="0.3">
      <c r="A45" s="379"/>
      <c r="B45" s="21" t="str">
        <f t="shared" si="46"/>
        <v/>
      </c>
      <c r="C45" s="22" t="str">
        <f t="shared" si="46"/>
        <v/>
      </c>
      <c r="D45" s="9" t="str">
        <f t="shared" si="46"/>
        <v/>
      </c>
      <c r="E45" s="358"/>
      <c r="F45" s="9" t="str">
        <f t="shared" si="27"/>
        <v/>
      </c>
      <c r="G45" s="358"/>
      <c r="H45" s="9" t="str">
        <f t="shared" si="28"/>
        <v/>
      </c>
      <c r="I45" s="358"/>
      <c r="J45" s="9" t="str">
        <f t="shared" si="29"/>
        <v/>
      </c>
      <c r="K45" s="358"/>
      <c r="L45" s="9" t="str">
        <f t="shared" si="30"/>
        <v/>
      </c>
      <c r="M45" s="358"/>
      <c r="N45" s="9" t="str">
        <f t="shared" si="31"/>
        <v/>
      </c>
      <c r="O45" s="358"/>
      <c r="R45" s="361"/>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7"/>
        <v>BC Phönix Lauf</v>
      </c>
      <c r="BS45" s="222">
        <f t="shared" si="45"/>
        <v>2</v>
      </c>
      <c r="BT45" s="223">
        <f t="shared" si="48"/>
        <v>0</v>
      </c>
      <c r="BU45" s="223">
        <f>IF(COUNTIF(BH45:BM45,"&gt;0")&lt;Spielorte!$A$23,0,BE45/Spielorte!$A$23)</f>
        <v>0</v>
      </c>
      <c r="BV45" s="223">
        <f t="shared" si="49"/>
        <v>0</v>
      </c>
      <c r="BW45" s="222">
        <f t="shared" si="50"/>
        <v>0</v>
      </c>
    </row>
    <row r="46" spans="1:75" ht="17.100000000000001" customHeight="1" x14ac:dyDescent="0.25">
      <c r="A46" s="377" t="s">
        <v>11</v>
      </c>
      <c r="B46" s="17" t="e">
        <f>IF(S46=0,"",S46)</f>
        <v>#REF!</v>
      </c>
      <c r="C46" s="18" t="e">
        <f>IF(#REF!=0,"",#REF!)</f>
        <v>#REF!</v>
      </c>
      <c r="D46" s="14">
        <f t="shared" si="46"/>
        <v>158</v>
      </c>
      <c r="E46" s="356">
        <f>IF(V46="","",V46)</f>
        <v>0</v>
      </c>
      <c r="F46" s="14">
        <f t="shared" si="27"/>
        <v>167</v>
      </c>
      <c r="G46" s="356">
        <f>IF(X46="","",X46)</f>
        <v>1</v>
      </c>
      <c r="H46" s="14">
        <f t="shared" si="28"/>
        <v>212</v>
      </c>
      <c r="I46" s="356">
        <f>IF(Z46="","",Z46)</f>
        <v>1</v>
      </c>
      <c r="J46" s="14">
        <f t="shared" si="29"/>
        <v>195</v>
      </c>
      <c r="K46" s="356">
        <f>IF(AB46="","",AB46)</f>
        <v>1</v>
      </c>
      <c r="L46" s="14">
        <f t="shared" si="30"/>
        <v>203</v>
      </c>
      <c r="M46" s="356">
        <f>IF(AD46="","",AD46)</f>
        <v>1</v>
      </c>
      <c r="N46" s="14">
        <f t="shared" si="31"/>
        <v>1095</v>
      </c>
      <c r="O46" s="356">
        <f>IF(AH46="","",AH46)</f>
        <v>5</v>
      </c>
      <c r="R46" s="359" t="s">
        <v>11</v>
      </c>
      <c r="S46" s="67" t="e">
        <f>IF(#REF!=0,"",VLOOKUP(#REF!,Starter!$A$1:$D$187,2,FALSE))</f>
        <v>#REF!</v>
      </c>
      <c r="T46" s="175">
        <v>7709</v>
      </c>
      <c r="U46" s="185">
        <v>158</v>
      </c>
      <c r="V46" s="95">
        <f>IF(SUM(U46:U48)+U58=0,0,IF(ABS(SUM(U46:U48))=U58,0.5,IF(ABS(SUM(U46:U48))&gt;U58,1,0)))</f>
        <v>0</v>
      </c>
      <c r="W46" s="185">
        <v>167</v>
      </c>
      <c r="X46" s="95">
        <f>IF(SUM(W46:W48)+W58=0,0,IF(ABS(SUM(W46:W48))=W58,0.5,IF(ABS(SUM(W46:W48))&gt;W58,1,0)))</f>
        <v>1</v>
      </c>
      <c r="Y46" s="185">
        <v>212</v>
      </c>
      <c r="Z46" s="95">
        <f>IF(SUM(Y46:Y48)+Y58=0,0,IF(ABS(SUM(Y46:Y48))=Y58,0.5,IF(ABS(SUM(Y46:Y48))&gt;Y58,1,0)))</f>
        <v>1</v>
      </c>
      <c r="AA46" s="185">
        <v>195</v>
      </c>
      <c r="AB46" s="95">
        <f>IF(SUM(AA46:AA48)+AA58=0,0,IF(ABS(SUM(AA46:AA48))=AA58,0.5,IF(ABS(SUM(AA46:AA48))&gt;AA58,1,0)))</f>
        <v>1</v>
      </c>
      <c r="AC46" s="185">
        <v>203</v>
      </c>
      <c r="AD46" s="95">
        <f>IF(SUM(AC46:AC48)+AC58=0,0,IF(ABS(SUM(AC46:AC48))=AC58,0.5,IF(ABS(SUM(AC46:AC48))&gt;AC58,1,0)))</f>
        <v>1</v>
      </c>
      <c r="AE46" s="185">
        <v>160</v>
      </c>
      <c r="AF46" s="95">
        <f>IF(SUM(AE46:AE48)+AE58=0,0,IF(ABS(SUM(AE46:AE48))=AE58,0.5,IF(ABS(SUM(AE46:AE48))&gt;AE58,1,0)))</f>
        <v>1</v>
      </c>
      <c r="AG46" s="194">
        <f t="shared" si="32"/>
        <v>1095</v>
      </c>
      <c r="AH46" s="179">
        <f>SUM(V46+X46+Z46+AB46+AD46+AF46)</f>
        <v>5</v>
      </c>
      <c r="AI46" s="93"/>
      <c r="AJ46" s="93"/>
      <c r="AK46" s="93"/>
      <c r="AL46" s="93"/>
      <c r="AM46" s="93"/>
      <c r="AN46" s="93"/>
      <c r="AO46" s="93"/>
      <c r="AP46" s="93"/>
      <c r="AQ46" s="93"/>
      <c r="AR46" s="93"/>
      <c r="AS46" s="93"/>
      <c r="AT46" s="93"/>
      <c r="AU46" s="93"/>
      <c r="AV46" s="93"/>
      <c r="AW46" s="93"/>
      <c r="AX46" s="93"/>
      <c r="AY46" s="93"/>
      <c r="AZ46" s="93"/>
      <c r="BA46" s="220"/>
      <c r="BB46" s="221"/>
      <c r="BC46" s="222"/>
      <c r="BD46" s="225" t="e">
        <f>#REF!</f>
        <v>#REF!</v>
      </c>
      <c r="BE46" s="221">
        <f t="shared" si="34"/>
        <v>1095</v>
      </c>
      <c r="BF46" s="223">
        <f t="shared" si="35"/>
        <v>6</v>
      </c>
      <c r="BG46" s="223">
        <f t="shared" si="36"/>
        <v>6</v>
      </c>
      <c r="BH46" s="223">
        <f t="shared" si="37"/>
        <v>158</v>
      </c>
      <c r="BI46" s="223">
        <f t="shared" si="38"/>
        <v>167</v>
      </c>
      <c r="BJ46" s="223">
        <f t="shared" si="39"/>
        <v>212</v>
      </c>
      <c r="BK46" s="223">
        <f t="shared" si="40"/>
        <v>195</v>
      </c>
      <c r="BL46" s="223">
        <f t="shared" si="41"/>
        <v>203</v>
      </c>
      <c r="BM46" s="223">
        <f t="shared" si="42"/>
        <v>160</v>
      </c>
      <c r="BN46" s="224"/>
      <c r="BO46" s="222"/>
      <c r="BP46" s="223">
        <f t="shared" si="43"/>
        <v>212</v>
      </c>
      <c r="BQ46" s="223">
        <f t="shared" si="44"/>
        <v>212.000000046</v>
      </c>
      <c r="BR46" s="223" t="str">
        <f t="shared" si="47"/>
        <v>BC Phönix Lauf</v>
      </c>
      <c r="BS46" s="222">
        <f t="shared" si="45"/>
        <v>1</v>
      </c>
      <c r="BT46" s="223">
        <f t="shared" si="48"/>
        <v>1095</v>
      </c>
      <c r="BU46" s="223">
        <f>IF(COUNTIF(BH46:BM46,"&gt;0")&lt;Spielorte!$A$23,0,BE46/Spielorte!$A$23)</f>
        <v>182.5</v>
      </c>
      <c r="BV46" s="223">
        <f t="shared" si="49"/>
        <v>182.500000046</v>
      </c>
      <c r="BW46" s="222">
        <f t="shared" si="50"/>
        <v>1</v>
      </c>
    </row>
    <row r="47" spans="1:75" ht="17.100000000000001" customHeight="1" x14ac:dyDescent="0.25">
      <c r="A47" s="378"/>
      <c r="B47" s="19" t="str">
        <f>IF(S47=0,"",S47)</f>
        <v>Schuster, Else</v>
      </c>
      <c r="C47" s="20">
        <f>IF(T46=0,"",T46)</f>
        <v>7709</v>
      </c>
      <c r="D47" s="15" t="str">
        <f t="shared" si="46"/>
        <v/>
      </c>
      <c r="E47" s="357"/>
      <c r="F47" s="15" t="str">
        <f t="shared" si="27"/>
        <v/>
      </c>
      <c r="G47" s="357"/>
      <c r="H47" s="15" t="str">
        <f t="shared" si="28"/>
        <v/>
      </c>
      <c r="I47" s="357"/>
      <c r="J47" s="15" t="str">
        <f t="shared" si="29"/>
        <v/>
      </c>
      <c r="K47" s="357"/>
      <c r="L47" s="15" t="str">
        <f t="shared" si="30"/>
        <v/>
      </c>
      <c r="M47" s="357"/>
      <c r="N47" s="15" t="str">
        <f t="shared" si="31"/>
        <v/>
      </c>
      <c r="O47" s="357"/>
      <c r="R47" s="360"/>
      <c r="S47" s="67" t="str">
        <f>IF(T46=0,"",VLOOKUP(T46,Starter!$A$1:$D$187,2,FALSE))</f>
        <v>Schuster, Else</v>
      </c>
      <c r="T47" s="297"/>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T46</f>
        <v>7709</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7"/>
        <v>BC Phönix Lauf</v>
      </c>
      <c r="BS47" s="222">
        <f t="shared" si="45"/>
        <v>2</v>
      </c>
      <c r="BT47" s="223">
        <f t="shared" si="48"/>
        <v>0</v>
      </c>
      <c r="BU47" s="223">
        <f>IF(COUNTIF(BH47:BM47,"&gt;0")&lt;Spielorte!$A$23,0,BE47/Spielorte!$A$23)</f>
        <v>0</v>
      </c>
      <c r="BV47" s="223">
        <f t="shared" si="49"/>
        <v>0</v>
      </c>
      <c r="BW47" s="222">
        <f t="shared" si="50"/>
        <v>0</v>
      </c>
    </row>
    <row r="48" spans="1:75" ht="17.100000000000001" customHeight="1" thickBot="1" x14ac:dyDescent="0.3">
      <c r="A48" s="379"/>
      <c r="B48" s="21" t="str">
        <f>IF(S48=0,"",S48)</f>
        <v/>
      </c>
      <c r="C48" s="22" t="str">
        <f t="shared" si="46"/>
        <v/>
      </c>
      <c r="D48" s="9" t="str">
        <f t="shared" si="46"/>
        <v/>
      </c>
      <c r="E48" s="358"/>
      <c r="F48" s="9" t="str">
        <f t="shared" si="27"/>
        <v/>
      </c>
      <c r="G48" s="358"/>
      <c r="H48" s="9" t="str">
        <f t="shared" si="28"/>
        <v/>
      </c>
      <c r="I48" s="358"/>
      <c r="J48" s="9" t="str">
        <f t="shared" si="29"/>
        <v/>
      </c>
      <c r="K48" s="358"/>
      <c r="L48" s="9" t="str">
        <f t="shared" si="30"/>
        <v/>
      </c>
      <c r="M48" s="358"/>
      <c r="N48" s="9" t="str">
        <f t="shared" si="31"/>
        <v/>
      </c>
      <c r="O48" s="358"/>
      <c r="R48" s="361"/>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7"/>
        <v>BC Phönix Lauf</v>
      </c>
      <c r="BS48" s="222">
        <f t="shared" si="45"/>
        <v>2</v>
      </c>
      <c r="BT48" s="223">
        <f t="shared" si="48"/>
        <v>0</v>
      </c>
      <c r="BU48" s="223">
        <f>IF(COUNTIF(BH48:BM48,"&gt;0")&lt;Spielorte!$A$23,0,BE48/Spielorte!$A$23)</f>
        <v>0</v>
      </c>
      <c r="BV48" s="223">
        <f t="shared" si="49"/>
        <v>0</v>
      </c>
      <c r="BW48" s="222">
        <f t="shared" si="50"/>
        <v>0</v>
      </c>
    </row>
    <row r="49" spans="1:75" ht="27.75" customHeight="1" thickBot="1" x14ac:dyDescent="0.3">
      <c r="B49" s="11" t="str">
        <f>IF(S49=0,"",S49)</f>
        <v>Gesamt</v>
      </c>
      <c r="C49" s="26" t="str">
        <f t="shared" si="46"/>
        <v/>
      </c>
      <c r="D49" s="16">
        <f t="shared" si="46"/>
        <v>653</v>
      </c>
      <c r="E49" s="12">
        <f>IF(V49="","",V49)</f>
        <v>2</v>
      </c>
      <c r="F49" s="16">
        <f t="shared" si="27"/>
        <v>649</v>
      </c>
      <c r="G49" s="12">
        <f>IF(X49="","",X49)</f>
        <v>2</v>
      </c>
      <c r="H49" s="16">
        <f t="shared" si="28"/>
        <v>667</v>
      </c>
      <c r="I49" s="12">
        <f>IF(Z49="","",Z49)</f>
        <v>2</v>
      </c>
      <c r="J49" s="16">
        <f t="shared" si="29"/>
        <v>657</v>
      </c>
      <c r="K49" s="12">
        <f>IF(AB49="","",AB49)</f>
        <v>2</v>
      </c>
      <c r="L49" s="16">
        <f t="shared" si="30"/>
        <v>682</v>
      </c>
      <c r="M49" s="12">
        <f>IF(AD49="","",AD49)</f>
        <v>2</v>
      </c>
      <c r="N49" s="16">
        <f t="shared" si="31"/>
        <v>3933</v>
      </c>
      <c r="O49" s="12">
        <f>IF(AH49="","",AH49)</f>
        <v>12</v>
      </c>
      <c r="S49" s="11" t="s">
        <v>1788</v>
      </c>
      <c r="T49" s="70"/>
      <c r="U49" s="187">
        <f>ABS(SUM(U37:U39))+ABS(SUM(U40:U42))+ABS(SUM(U43:U45))+ABS(SUM(U46:U48))</f>
        <v>653</v>
      </c>
      <c r="V49" s="98">
        <f>IF(U49+U59=0,0,IF(U49=U59,1,IF(U49&gt;U59,2,0)))</f>
        <v>2</v>
      </c>
      <c r="W49" s="187">
        <f>ABS(SUM(W37:W39))+ABS(SUM(W40:W42))+ABS(SUM(W43:W45))+ABS(SUM(W46:W48))</f>
        <v>649</v>
      </c>
      <c r="X49" s="98">
        <f>IF(W49+W59=0,0,IF(W49=W59,1,IF(W49&gt;W59,2,0)))</f>
        <v>2</v>
      </c>
      <c r="Y49" s="187">
        <f>ABS(SUM(Y37:Y39))+ABS(SUM(Y40:Y42))+ABS(SUM(Y43:Y45))+ABS(SUM(Y46:Y48))</f>
        <v>667</v>
      </c>
      <c r="Z49" s="98">
        <f>IF(Y49+Y59=0,0,IF(Y49=Y59,1,IF(Y49&gt;Y59,2,0)))</f>
        <v>2</v>
      </c>
      <c r="AA49" s="187">
        <f>ABS(SUM(AA37:AA39))+ABS(SUM(AA40:AA42))+ABS(SUM(AA43:AA45))+ABS(SUM(AA46:AA48))</f>
        <v>657</v>
      </c>
      <c r="AB49" s="98">
        <f>IF(AA49+AA59=0,0,IF(AA49=AA59,1,IF(AA49&gt;AA59,2,0)))</f>
        <v>2</v>
      </c>
      <c r="AC49" s="187">
        <f>ABS(SUM(AC37:AC39))+ABS(SUM(AC40:AC42))+ABS(SUM(AC43:AC45))+ABS(SUM(AC46:AC48))</f>
        <v>682</v>
      </c>
      <c r="AD49" s="98">
        <f>IF(AC49+AC59=0,0,IF(AC49=AC59,1,IF(AC49&gt;AC59,2,0)))</f>
        <v>2</v>
      </c>
      <c r="AE49" s="187">
        <f>ABS(SUM(AE37:AE39))+ABS(SUM(AE40:AE42))+ABS(SUM(AE43:AE45))+ABS(SUM(AE46:AE48))</f>
        <v>625</v>
      </c>
      <c r="AF49" s="98">
        <f>IF(AE49+AE59=0,0,IF(AE49=AE59,1,IF(AE49&gt;AE59,2,0)))</f>
        <v>2</v>
      </c>
      <c r="AG49" s="197">
        <f>SUM(U49+W49+Y49+AA49+AC49+AE49)</f>
        <v>3933</v>
      </c>
      <c r="AH49" s="12">
        <f>SUM(V49+X49+Z49+AB49+AD49+AF49)</f>
        <v>12</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6"/>
        <v/>
      </c>
      <c r="D50" s="1" t="str">
        <f t="shared" si="46"/>
        <v/>
      </c>
      <c r="E50" s="23">
        <f>IF(V50="","",V50)</f>
        <v>3</v>
      </c>
      <c r="F50" s="1" t="str">
        <f t="shared" si="27"/>
        <v/>
      </c>
      <c r="G50" s="23">
        <f>IF(X50="","",X50)</f>
        <v>5</v>
      </c>
      <c r="H50" s="1" t="str">
        <f t="shared" si="28"/>
        <v/>
      </c>
      <c r="I50" s="23">
        <f>IF(Z50="","",Z50)</f>
        <v>5</v>
      </c>
      <c r="J50" s="1" t="str">
        <f t="shared" si="29"/>
        <v/>
      </c>
      <c r="K50" s="23">
        <f>IF(AB50="","",AB50)</f>
        <v>5</v>
      </c>
      <c r="L50" s="1" t="str">
        <f t="shared" si="30"/>
        <v/>
      </c>
      <c r="M50" s="23">
        <f>IF(AD50="","",AD50)</f>
        <v>5</v>
      </c>
      <c r="N50" s="1" t="str">
        <f t="shared" si="31"/>
        <v/>
      </c>
      <c r="O50" s="23">
        <f>IF(AH50="","",AH50)</f>
        <v>29</v>
      </c>
      <c r="S50" s="8" t="s">
        <v>1799</v>
      </c>
      <c r="T50" s="1"/>
      <c r="U50" s="1"/>
      <c r="V50" s="71">
        <f>SUM(V37:V49)</f>
        <v>3</v>
      </c>
      <c r="W50" s="1"/>
      <c r="X50" s="71">
        <f>SUM(X37:X49)</f>
        <v>5</v>
      </c>
      <c r="Y50" s="1"/>
      <c r="Z50" s="71">
        <f>SUM(Z37:Z49)</f>
        <v>5</v>
      </c>
      <c r="AA50" s="1"/>
      <c r="AB50" s="71">
        <f>SUM(AB37:AB49)</f>
        <v>5</v>
      </c>
      <c r="AC50" s="1"/>
      <c r="AD50" s="71">
        <f>SUM(AD37:AD49)</f>
        <v>5</v>
      </c>
      <c r="AE50" s="1"/>
      <c r="AF50" s="71">
        <f>SUM(AF37:AF49)</f>
        <v>6</v>
      </c>
      <c r="AG50" s="1"/>
      <c r="AH50" s="71">
        <f>SUM(AH37:AH49)</f>
        <v>29</v>
      </c>
      <c r="AI50" s="94"/>
      <c r="AJ50" s="94"/>
      <c r="AK50" s="94"/>
      <c r="AL50" s="94"/>
      <c r="AM50" s="94"/>
      <c r="AN50" s="94"/>
      <c r="AO50" s="94"/>
      <c r="AP50" s="94"/>
      <c r="AQ50" s="94"/>
      <c r="AR50" s="94"/>
      <c r="AS50" s="94"/>
      <c r="AT50" s="94"/>
      <c r="AU50" s="94"/>
      <c r="AV50" s="94"/>
      <c r="AW50" s="94"/>
      <c r="AX50" s="94"/>
      <c r="AY50" s="94"/>
      <c r="AZ50" s="94"/>
      <c r="BA50" s="220">
        <f>IFERROR(AH50,0)</f>
        <v>29</v>
      </c>
      <c r="BB50" s="221">
        <f>AG49</f>
        <v>3933</v>
      </c>
      <c r="BC50" s="222">
        <f>+S32</f>
        <v>2</v>
      </c>
      <c r="BF50" s="223">
        <f>SUM(BF31:BF49)</f>
        <v>24</v>
      </c>
      <c r="BN50" s="220">
        <f>+BB50/1000000+BA50</f>
        <v>29.003933</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54">
        <f t="shared" si="51"/>
        <v>1</v>
      </c>
      <c r="E52" s="354" t="str">
        <f t="shared" si="51"/>
        <v/>
      </c>
      <c r="F52" s="354">
        <f t="shared" si="51"/>
        <v>1</v>
      </c>
      <c r="G52" s="354" t="str">
        <f t="shared" si="51"/>
        <v/>
      </c>
      <c r="H52" s="354">
        <f t="shared" si="51"/>
        <v>1</v>
      </c>
      <c r="I52" s="354" t="str">
        <f t="shared" si="51"/>
        <v/>
      </c>
      <c r="J52" s="354">
        <f t="shared" si="51"/>
        <v>1</v>
      </c>
      <c r="K52" s="354" t="str">
        <f t="shared" si="51"/>
        <v/>
      </c>
      <c r="L52" s="354">
        <f t="shared" ref="L52:M54" si="52">IF(AC52=0,"",AC52)</f>
        <v>1</v>
      </c>
      <c r="M52" s="354" t="str">
        <f t="shared" si="52"/>
        <v/>
      </c>
      <c r="N52" s="355"/>
      <c r="O52" s="355"/>
      <c r="S52" s="13" t="s">
        <v>1786</v>
      </c>
      <c r="T52" s="5" t="s">
        <v>1787</v>
      </c>
      <c r="U52" s="373">
        <f>VLOOKUP($S32,Schlüssel!$A$5:$CX$10,63)</f>
        <v>1</v>
      </c>
      <c r="V52" s="374"/>
      <c r="W52" s="373">
        <f>VLOOKUP($S32,Schlüssel!$A$5:$DQ$10,64)</f>
        <v>1</v>
      </c>
      <c r="X52" s="374"/>
      <c r="Y52" s="373">
        <f>VLOOKUP($S32,Schlüssel!$A$5:$DQ$10,65)</f>
        <v>1</v>
      </c>
      <c r="Z52" s="374"/>
      <c r="AA52" s="373">
        <f>VLOOKUP($S32,Schlüssel!$A$5:$DQ$10,66)</f>
        <v>1</v>
      </c>
      <c r="AB52" s="374"/>
      <c r="AC52" s="373">
        <f>VLOOKUP($S32,Schlüssel!$A$5:$DQ$10,67)</f>
        <v>1</v>
      </c>
      <c r="AD52" s="374"/>
      <c r="AE52" s="373">
        <f>VLOOKUP($S32,Schlüssel!$A$5:$DQ$10,68)</f>
        <v>1</v>
      </c>
      <c r="AF52" s="374"/>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51" t="str">
        <f t="shared" si="51"/>
        <v>Kleeblatt Fürth</v>
      </c>
      <c r="E53" s="352" t="str">
        <f t="shared" si="51"/>
        <v/>
      </c>
      <c r="F53" s="351" t="str">
        <f t="shared" si="51"/>
        <v>Kleeblatt Fürth</v>
      </c>
      <c r="G53" s="352" t="str">
        <f t="shared" si="51"/>
        <v/>
      </c>
      <c r="H53" s="351" t="str">
        <f t="shared" si="51"/>
        <v>Kleeblatt Fürth</v>
      </c>
      <c r="I53" s="352" t="str">
        <f t="shared" si="51"/>
        <v/>
      </c>
      <c r="J53" s="351" t="str">
        <f t="shared" si="51"/>
        <v>Kleeblatt Fürth</v>
      </c>
      <c r="K53" s="352" t="str">
        <f t="shared" si="51"/>
        <v/>
      </c>
      <c r="L53" s="351" t="str">
        <f t="shared" si="52"/>
        <v>Kleeblatt Fürth</v>
      </c>
      <c r="M53" s="352" t="str">
        <f t="shared" si="52"/>
        <v/>
      </c>
      <c r="N53" s="353"/>
      <c r="O53" s="353"/>
      <c r="S53" s="4"/>
      <c r="T53" s="1"/>
      <c r="U53" s="351" t="str">
        <f>VLOOKUP(U52,Schlüssel!$A$5:$K$10,2)</f>
        <v>Kleeblatt Fürth</v>
      </c>
      <c r="V53" s="352"/>
      <c r="W53" s="351" t="str">
        <f>VLOOKUP(W52,Schlüssel!$A$5:$K$10,2)</f>
        <v>Kleeblatt Fürth</v>
      </c>
      <c r="X53" s="352"/>
      <c r="Y53" s="351" t="str">
        <f>VLOOKUP(Y52,Schlüssel!$A$5:$K$10,2)</f>
        <v>Kleeblatt Fürth</v>
      </c>
      <c r="Z53" s="352"/>
      <c r="AA53" s="351" t="str">
        <f>VLOOKUP(AA52,Schlüssel!$A$5:$K$10,2)</f>
        <v>Kleeblatt Fürth</v>
      </c>
      <c r="AB53" s="352"/>
      <c r="AC53" s="351" t="str">
        <f>VLOOKUP(AC52,Schlüssel!$A$5:$K$10,2)</f>
        <v>Kleeblatt Fürth</v>
      </c>
      <c r="AD53" s="352"/>
      <c r="AE53" s="351" t="str">
        <f>VLOOKUP(AE52,Schlüssel!$A$5:$K$10,2)</f>
        <v>Kleeblatt Fürth</v>
      </c>
      <c r="AF53" s="35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50" t="str">
        <f t="shared" si="51"/>
        <v/>
      </c>
      <c r="E54" s="350" t="str">
        <f t="shared" si="51"/>
        <v/>
      </c>
      <c r="F54" s="350" t="str">
        <f t="shared" si="51"/>
        <v/>
      </c>
      <c r="G54" s="350" t="str">
        <f t="shared" si="51"/>
        <v/>
      </c>
      <c r="H54" s="350" t="str">
        <f t="shared" si="51"/>
        <v/>
      </c>
      <c r="I54" s="350" t="str">
        <f t="shared" si="51"/>
        <v/>
      </c>
      <c r="J54" s="350" t="str">
        <f t="shared" si="51"/>
        <v/>
      </c>
      <c r="K54" s="350" t="str">
        <f t="shared" si="51"/>
        <v/>
      </c>
      <c r="L54" s="350" t="str">
        <f t="shared" si="52"/>
        <v/>
      </c>
      <c r="M54" s="350"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5" t="str">
        <f t="shared" ref="B55:C59" si="53">IF(S55=0,"",S55)</f>
        <v>Spieler 1</v>
      </c>
      <c r="C55" s="376" t="str">
        <f t="shared" si="53"/>
        <v/>
      </c>
      <c r="D55" s="348">
        <f>IF(U55=301,"",U55)</f>
        <v>118</v>
      </c>
      <c r="E55" s="348" t="str">
        <f>IF(V55=0,"",V55)</f>
        <v/>
      </c>
      <c r="F55" s="348">
        <f>IF(W55=301,"",W55)</f>
        <v>134</v>
      </c>
      <c r="G55" s="348" t="str">
        <f>IF(X55=0,"",X55)</f>
        <v/>
      </c>
      <c r="H55" s="348">
        <f>IF(Y55=301,"",Y55)</f>
        <v>150</v>
      </c>
      <c r="I55" s="348" t="str">
        <f>IF(Z55=0,"",Z55)</f>
        <v/>
      </c>
      <c r="J55" s="348">
        <f>IF(AA55=301,"",AA55)</f>
        <v>141</v>
      </c>
      <c r="K55" s="348" t="str">
        <f>IF(AB55=0,"",AB55)</f>
        <v/>
      </c>
      <c r="L55" s="348">
        <f>IF(AC55=301,"",AC55)</f>
        <v>137</v>
      </c>
      <c r="M55" s="348" t="str">
        <f>IF(AD55=0,"",AD55)</f>
        <v/>
      </c>
      <c r="N55" s="349"/>
      <c r="O55" s="349"/>
      <c r="S55" s="35" t="s">
        <v>0</v>
      </c>
      <c r="T55" s="36"/>
      <c r="U55" s="371">
        <f>ABS(INDEX(U:U,MATCH(U52,$S:$S,0)+5)+INDEX(U:U,MATCH(U52,$S:$S,0)+6)+INDEX(U:U,MATCH(U52,$S:$S,0)+7))</f>
        <v>118</v>
      </c>
      <c r="V55" s="372"/>
      <c r="W55" s="371">
        <f>ABS(INDEX(W:W,MATCH(W52,$S:$S,0)+5)+INDEX(W:W,MATCH(W52,$S:$S,0)+6)+INDEX(W:W,MATCH(W52,$S:$S,0)+7))</f>
        <v>134</v>
      </c>
      <c r="X55" s="372"/>
      <c r="Y55" s="371">
        <f>ABS(INDEX(Y:Y,MATCH(Y52,$S:$S,0)+5)+INDEX(Y:Y,MATCH(Y52,$S:$S,0)+6)+INDEX(Y:Y,MATCH(Y52,$S:$S,0)+7))</f>
        <v>150</v>
      </c>
      <c r="Z55" s="372"/>
      <c r="AA55" s="371">
        <f>ABS(INDEX(AA:AA,MATCH(AA52,$S:$S,0)+5)+INDEX(AA:AA,MATCH(AA52,$S:$S,0)+6)+INDEX(AA:AA,MATCH(AA52,$S:$S,0)+7))</f>
        <v>141</v>
      </c>
      <c r="AB55" s="372"/>
      <c r="AC55" s="371">
        <f>ABS(INDEX(AC:AC,MATCH(AC52,$S:$S,0)+5)+INDEX(AC:AC,MATCH(AC52,$S:$S,0)+6)+INDEX(AC:AC,MATCH(AC52,$S:$S,0)+7))</f>
        <v>137</v>
      </c>
      <c r="AD55" s="372"/>
      <c r="AE55" s="371">
        <f>ABS(INDEX(AE:AE,MATCH(AE52,$S:$S,0)+5)+INDEX(AE:AE,MATCH(AE52,$S:$S,0)+6)+INDEX(AE:AE,MATCH(AE52,$S:$S,0)+7))</f>
        <v>129</v>
      </c>
      <c r="AF55" s="372"/>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5" t="str">
        <f t="shared" si="53"/>
        <v>Spieler 2</v>
      </c>
      <c r="C56" s="376" t="str">
        <f t="shared" si="53"/>
        <v/>
      </c>
      <c r="D56" s="348">
        <f>IF(U56=301,"",U56)</f>
        <v>170</v>
      </c>
      <c r="E56" s="348" t="str">
        <f>IF(V56=0,"",V56)</f>
        <v/>
      </c>
      <c r="F56" s="348">
        <f>IF(W56=301,"",W56)</f>
        <v>186</v>
      </c>
      <c r="G56" s="348" t="str">
        <f>IF(X56=0,"",X56)</f>
        <v/>
      </c>
      <c r="H56" s="348">
        <f>IF(Y56=301,"",Y56)</f>
        <v>168</v>
      </c>
      <c r="I56" s="348" t="str">
        <f>IF(Z56=0,"",Z56)</f>
        <v/>
      </c>
      <c r="J56" s="348">
        <f>IF(AA56=301,"",AA56)</f>
        <v>147</v>
      </c>
      <c r="K56" s="348" t="str">
        <f>IF(AB56=0,"",AB56)</f>
        <v/>
      </c>
      <c r="L56" s="348">
        <f>IF(AC56=301,"",AC56)</f>
        <v>160</v>
      </c>
      <c r="M56" s="348" t="str">
        <f>IF(AD56=0,"",AD56)</f>
        <v/>
      </c>
      <c r="N56" s="349"/>
      <c r="O56" s="349"/>
      <c r="S56" s="35" t="s">
        <v>2</v>
      </c>
      <c r="T56" s="36"/>
      <c r="U56" s="369">
        <f>ABS(INDEX(U:U,MATCH(U52,$S:$S,0)+8)+INDEX(U:U,MATCH(U52,$S:$S,0)+9)+INDEX(U:U,MATCH(U52,$S:$S,0)+10))</f>
        <v>170</v>
      </c>
      <c r="V56" s="370"/>
      <c r="W56" s="369">
        <f>ABS(INDEX(W:W,MATCH(W52,$S:$S,0)+8)+INDEX(W:W,MATCH(W52,$S:$S,0)+9)+INDEX(W:W,MATCH(W52,$S:$S,0)+10))</f>
        <v>186</v>
      </c>
      <c r="X56" s="370"/>
      <c r="Y56" s="369">
        <f>ABS(INDEX(Y:Y,MATCH(Y52,$S:$S,0)+8)+INDEX(Y:Y,MATCH(Y52,$S:$S,0)+9)+INDEX(Y:Y,MATCH(Y52,$S:$S,0)+10))</f>
        <v>168</v>
      </c>
      <c r="Z56" s="370"/>
      <c r="AA56" s="369">
        <f>ABS(INDEX(AA:AA,MATCH(AA52,$S:$S,0)+8)+INDEX(AA:AA,MATCH(AA52,$S:$S,0)+9)+INDEX(AA:AA,MATCH(AA52,$S:$S,0)+10))</f>
        <v>147</v>
      </c>
      <c r="AB56" s="370"/>
      <c r="AC56" s="369">
        <f>ABS(INDEX(AC:AC,MATCH(AC52,$S:$S,0)+8)+INDEX(AC:AC,MATCH(AC52,$S:$S,0)+9)+INDEX(AC:AC,MATCH(AC52,$S:$S,0)+10))</f>
        <v>160</v>
      </c>
      <c r="AD56" s="370"/>
      <c r="AE56" s="369">
        <f>ABS(INDEX(AE:AE,MATCH(AE52,$S:$S,0)+8)+INDEX(AE:AE,MATCH(AE52,$S:$S,0)+9)+INDEX(AE:AE,MATCH(AE52,$S:$S,0)+10))</f>
        <v>151</v>
      </c>
      <c r="AF56" s="370"/>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5" t="str">
        <f t="shared" si="53"/>
        <v>Spieler 3</v>
      </c>
      <c r="C57" s="376" t="str">
        <f t="shared" si="53"/>
        <v/>
      </c>
      <c r="D57" s="348">
        <f>IF(U57=301,"",U57)</f>
        <v>167</v>
      </c>
      <c r="E57" s="348" t="str">
        <f>IF(V57=0,"",V57)</f>
        <v/>
      </c>
      <c r="F57" s="348">
        <f>IF(W57=301,"",W57)</f>
        <v>140</v>
      </c>
      <c r="G57" s="348" t="str">
        <f>IF(X57=0,"",X57)</f>
        <v/>
      </c>
      <c r="H57" s="348">
        <f>IF(Y57=301,"",Y57)</f>
        <v>120</v>
      </c>
      <c r="I57" s="348" t="str">
        <f>IF(Z57=0,"",Z57)</f>
        <v/>
      </c>
      <c r="J57" s="348">
        <f>IF(AA57=301,"",AA57)</f>
        <v>141</v>
      </c>
      <c r="K57" s="348" t="str">
        <f>IF(AB57=0,"",AB57)</f>
        <v/>
      </c>
      <c r="L57" s="348">
        <f>IF(AC57=301,"",AC57)</f>
        <v>146</v>
      </c>
      <c r="M57" s="348" t="str">
        <f>IF(AD57=0,"",AD57)</f>
        <v/>
      </c>
      <c r="N57" s="349"/>
      <c r="O57" s="349"/>
      <c r="S57" s="35" t="s">
        <v>3</v>
      </c>
      <c r="T57" s="36"/>
      <c r="U57" s="369">
        <f>ABS(INDEX(U:U,MATCH(U52,$S:$S,0)+11)+INDEX(U:U,MATCH(U52,$S:$S,0)+12)+INDEX(U:U,MATCH(U52,$S:$S,0)+13))</f>
        <v>167</v>
      </c>
      <c r="V57" s="370"/>
      <c r="W57" s="369">
        <f>ABS(INDEX(W:W,MATCH(W52,$S:$S,0)+11)+INDEX(W:W,MATCH(W52,$S:$S,0)+12)+INDEX(W:W,MATCH(W52,$S:$S,0)+13))</f>
        <v>140</v>
      </c>
      <c r="X57" s="370"/>
      <c r="Y57" s="369">
        <f>ABS(INDEX(Y:Y,MATCH(Y52,$S:$S,0)+11)+INDEX(Y:Y,MATCH(Y52,$S:$S,0)+12)+INDEX(Y:Y,MATCH(Y52,$S:$S,0)+13))</f>
        <v>120</v>
      </c>
      <c r="Z57" s="370"/>
      <c r="AA57" s="369">
        <f>ABS(INDEX(AA:AA,MATCH(AA52,$S:$S,0)+11)+INDEX(AA:AA,MATCH(AA52,$S:$S,0)+12)+INDEX(AA:AA,MATCH(AA52,$S:$S,0)+13))</f>
        <v>141</v>
      </c>
      <c r="AB57" s="370"/>
      <c r="AC57" s="369">
        <f>ABS(INDEX(AC:AC,MATCH(AC52,$S:$S,0)+11)+INDEX(AC:AC,MATCH(AC52,$S:$S,0)+12)+INDEX(AC:AC,MATCH(AC52,$S:$S,0)+13))</f>
        <v>146</v>
      </c>
      <c r="AD57" s="370"/>
      <c r="AE57" s="369">
        <f>ABS(INDEX(AE:AE,MATCH(AE52,$S:$S,0)+11)+INDEX(AE:AE,MATCH(AE52,$S:$S,0)+12)+INDEX(AE:AE,MATCH(AE52,$S:$S,0)+13))</f>
        <v>133</v>
      </c>
      <c r="AF57" s="370"/>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5" t="str">
        <f t="shared" si="53"/>
        <v>Spieler 4</v>
      </c>
      <c r="C58" s="376" t="str">
        <f t="shared" si="53"/>
        <v/>
      </c>
      <c r="D58" s="348">
        <f>IF(U58=301,"",U58)</f>
        <v>181</v>
      </c>
      <c r="E58" s="348" t="str">
        <f>IF(V58=0,"",V58)</f>
        <v/>
      </c>
      <c r="F58" s="348">
        <f>IF(W58=301,"",W58)</f>
        <v>166</v>
      </c>
      <c r="G58" s="348" t="str">
        <f>IF(X58=0,"",X58)</f>
        <v/>
      </c>
      <c r="H58" s="348">
        <f>IF(Y58=301,"",Y58)</f>
        <v>158</v>
      </c>
      <c r="I58" s="348" t="str">
        <f>IF(Z58=0,"",Z58)</f>
        <v/>
      </c>
      <c r="J58" s="348">
        <f>IF(AA58=301,"",AA58)</f>
        <v>179</v>
      </c>
      <c r="K58" s="348" t="str">
        <f>IF(AB58=0,"",AB58)</f>
        <v/>
      </c>
      <c r="L58" s="348">
        <f>IF(AC58=301,"",AC58)</f>
        <v>165</v>
      </c>
      <c r="M58" s="348" t="str">
        <f>IF(AD58=0,"",AD58)</f>
        <v/>
      </c>
      <c r="N58" s="349"/>
      <c r="O58" s="349"/>
      <c r="S58" s="35" t="s">
        <v>11</v>
      </c>
      <c r="T58" s="36"/>
      <c r="U58" s="369">
        <f>ABS(INDEX(U:U,MATCH(U52,$S:$S,0)+14)+INDEX(U:U,MATCH(U52,$S:$S,0)+15)+INDEX(U:U,MATCH(U52,$S:$S,0)+16))</f>
        <v>181</v>
      </c>
      <c r="V58" s="370"/>
      <c r="W58" s="369">
        <f>ABS(INDEX(W:W,MATCH(W52,$S:$S,0)+14)+INDEX(W:W,MATCH(W52,$S:$S,0)+15)+INDEX(W:W,MATCH(W52,$S:$S,0)+16))</f>
        <v>166</v>
      </c>
      <c r="X58" s="370"/>
      <c r="Y58" s="369">
        <f>ABS(INDEX(Y:Y,MATCH(Y52,$S:$S,0)+14)+INDEX(Y:Y,MATCH(Y52,$S:$S,0)+15)+INDEX(Y:Y,MATCH(Y52,$S:$S,0)+16))</f>
        <v>158</v>
      </c>
      <c r="Z58" s="370"/>
      <c r="AA58" s="369">
        <f>ABS(INDEX(AA:AA,MATCH(AA52,$S:$S,0)+14)+INDEX(AA:AA,MATCH(AA52,$S:$S,0)+15)+INDEX(AA:AA,MATCH(AA52,$S:$S,0)+16))</f>
        <v>179</v>
      </c>
      <c r="AB58" s="370"/>
      <c r="AC58" s="369">
        <f>ABS(INDEX(AC:AC,MATCH(AC52,$S:$S,0)+14)+INDEX(AC:AC,MATCH(AC52,$S:$S,0)+15)+INDEX(AC:AC,MATCH(AC52,$S:$S,0)+16))</f>
        <v>165</v>
      </c>
      <c r="AD58" s="370"/>
      <c r="AE58" s="369">
        <f>ABS(INDEX(AE:AE,MATCH(AE52,$S:$S,0)+14)+INDEX(AE:AE,MATCH(AE52,$S:$S,0)+15)+INDEX(AE:AE,MATCH(AE52,$S:$S,0)+16))</f>
        <v>147</v>
      </c>
      <c r="AF58" s="370"/>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3" t="str">
        <f t="shared" si="53"/>
        <v>Gesamt</v>
      </c>
      <c r="C59" s="364" t="str">
        <f t="shared" si="53"/>
        <v/>
      </c>
      <c r="D59" s="347">
        <f>IF(U59=1505,"",U59)</f>
        <v>636</v>
      </c>
      <c r="E59" s="347" t="str">
        <f>IF(V59=0,"",V59)</f>
        <v/>
      </c>
      <c r="F59" s="347">
        <f>IF(W59=1505,"",W59)</f>
        <v>626</v>
      </c>
      <c r="G59" s="347" t="str">
        <f>IF(X59=0,"",X59)</f>
        <v/>
      </c>
      <c r="H59" s="347">
        <f>IF(Y59=1505,"",Y59)</f>
        <v>596</v>
      </c>
      <c r="I59" s="347" t="str">
        <f>IF(Z59=0,"",Z59)</f>
        <v/>
      </c>
      <c r="J59" s="347">
        <f>IF(AA59=1505,"",AA59)</f>
        <v>608</v>
      </c>
      <c r="K59" s="347" t="str">
        <f>IF(AB59=0,"",AB59)</f>
        <v/>
      </c>
      <c r="L59" s="347">
        <f>IF(AC59=1505,"",AC59)</f>
        <v>608</v>
      </c>
      <c r="M59" s="347" t="str">
        <f>IF(AD59=0,"",AD59)</f>
        <v/>
      </c>
      <c r="N59" s="312"/>
      <c r="O59" s="312"/>
      <c r="S59" s="37" t="s">
        <v>1788</v>
      </c>
      <c r="T59" s="38"/>
      <c r="U59" s="363">
        <f>SUM(U55:U58)</f>
        <v>636</v>
      </c>
      <c r="V59" s="364"/>
      <c r="W59" s="363">
        <f>SUM(W55:W58)</f>
        <v>626</v>
      </c>
      <c r="X59" s="364"/>
      <c r="Y59" s="363">
        <f>SUM(Y55:Y58)</f>
        <v>596</v>
      </c>
      <c r="Z59" s="364"/>
      <c r="AA59" s="363">
        <f>SUM(AA55:AA58)</f>
        <v>608</v>
      </c>
      <c r="AB59" s="364"/>
      <c r="AC59" s="363">
        <f>SUM(AC55:AC58)</f>
        <v>608</v>
      </c>
      <c r="AD59" s="364"/>
      <c r="AE59" s="363">
        <f>SUM(AE55:AE58)</f>
        <v>560</v>
      </c>
      <c r="AF59" s="364"/>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80" t="str">
        <f>Schlüssel!$BU$1</f>
        <v>16.03.</v>
      </c>
      <c r="N61" s="380"/>
      <c r="O61" s="380"/>
      <c r="P61" s="381"/>
      <c r="Q61" s="381"/>
      <c r="R61" s="381"/>
      <c r="S61" s="7" t="s">
        <v>1798</v>
      </c>
      <c r="T61" s="25"/>
      <c r="U61" s="30" t="s">
        <v>1782</v>
      </c>
      <c r="V61" s="76" t="str">
        <f>Schlüssel!$C$1</f>
        <v>Landesliga Nord Frauen</v>
      </c>
      <c r="X61" s="25"/>
      <c r="Y61" s="25"/>
      <c r="Z61" s="25"/>
      <c r="AA61" s="25"/>
      <c r="AC61" s="29"/>
      <c r="AD61" s="362" t="str">
        <f>Schlüssel!$BU$1</f>
        <v>16.03.</v>
      </c>
      <c r="AE61" s="362"/>
      <c r="AF61" s="362"/>
      <c r="AG61" s="362"/>
      <c r="AH61" s="362"/>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5">
      <c r="B65" s="40" t="s">
        <v>1</v>
      </c>
      <c r="C65" s="41"/>
      <c r="D65" s="363" t="s">
        <v>1789</v>
      </c>
      <c r="E65" s="364"/>
      <c r="F65" s="363" t="s">
        <v>1790</v>
      </c>
      <c r="G65" s="364"/>
      <c r="H65" s="363" t="s">
        <v>1791</v>
      </c>
      <c r="I65" s="364"/>
      <c r="J65" s="363" t="s">
        <v>1792</v>
      </c>
      <c r="K65" s="364"/>
      <c r="L65" s="363" t="s">
        <v>1793</v>
      </c>
      <c r="M65" s="364"/>
      <c r="N65" s="365" t="s">
        <v>1788</v>
      </c>
      <c r="O65" s="366"/>
      <c r="S65" s="40" t="s">
        <v>1</v>
      </c>
      <c r="T65" s="41"/>
      <c r="U65" s="363" t="s">
        <v>1789</v>
      </c>
      <c r="V65" s="364"/>
      <c r="W65" s="363" t="s">
        <v>1790</v>
      </c>
      <c r="X65" s="364"/>
      <c r="Y65" s="363" t="s">
        <v>1791</v>
      </c>
      <c r="Z65" s="364"/>
      <c r="AA65" s="363" t="s">
        <v>1792</v>
      </c>
      <c r="AB65" s="364"/>
      <c r="AC65" s="363" t="s">
        <v>1793</v>
      </c>
      <c r="AD65" s="368"/>
      <c r="AE65" s="363" t="s">
        <v>2088</v>
      </c>
      <c r="AF65" s="368"/>
      <c r="AG65" s="367" t="s">
        <v>1788</v>
      </c>
      <c r="AH65" s="36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7" t="s">
        <v>0</v>
      </c>
      <c r="B67" s="17" t="str">
        <f>IF(S67=0,"",S67)</f>
        <v/>
      </c>
      <c r="C67" s="18" t="str">
        <f>IF(T67=0,"",T67)</f>
        <v/>
      </c>
      <c r="D67" s="14" t="str">
        <f>IF(U67=0,"",U67)</f>
        <v/>
      </c>
      <c r="E67" s="356" t="e">
        <f>IF(V67="","",V67)</f>
        <v>#N/A</v>
      </c>
      <c r="F67" s="14" t="str">
        <f t="shared" ref="F67:F80" si="54">IF(W67=0,"",W67)</f>
        <v/>
      </c>
      <c r="G67" s="356" t="e">
        <f>IF(X67="","",X67)</f>
        <v>#N/A</v>
      </c>
      <c r="H67" s="14" t="str">
        <f t="shared" ref="H67:H80" si="55">IF(Y67=0,"",Y67)</f>
        <v/>
      </c>
      <c r="I67" s="356" t="e">
        <f>IF(Z67="","",Z67)</f>
        <v>#N/A</v>
      </c>
      <c r="J67" s="14" t="str">
        <f t="shared" ref="J67:J80" si="56">IF(AA67=0,"",AA67)</f>
        <v/>
      </c>
      <c r="K67" s="356" t="e">
        <f>IF(AB67="","",AB67)</f>
        <v>#N/A</v>
      </c>
      <c r="L67" s="14" t="str">
        <f t="shared" ref="L67:L80" si="57">IF(AC67=0,"",AC67)</f>
        <v/>
      </c>
      <c r="M67" s="356" t="e">
        <f>IF(AD67="","",AD67)</f>
        <v>#N/A</v>
      </c>
      <c r="N67" s="14" t="str">
        <f t="shared" ref="N67:N80" si="58">IF(AG67=0,"",AG67)</f>
        <v/>
      </c>
      <c r="O67" s="356" t="e">
        <f>IF(AH67="","",AH67)</f>
        <v>#N/A</v>
      </c>
      <c r="R67" s="359"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0</v>
      </c>
      <c r="BR67" s="223" t="str">
        <f>+S63</f>
        <v>Mainauenbowler Bayreuth Land</v>
      </c>
      <c r="BS67" s="222">
        <f t="shared" ref="BS67:BS78" si="72">RANK(BQ67,BQ:BQ)</f>
        <v>2</v>
      </c>
      <c r="BT67" s="223">
        <f>SUMIF(BH67:BM67,"&gt;0")</f>
        <v>0</v>
      </c>
      <c r="BU67" s="223">
        <f>IF(COUNTIF(BH67:BM67,"&gt;0")&lt;Spielorte!$A$23,0,BE67/Spielorte!$A$23)</f>
        <v>0</v>
      </c>
      <c r="BV67" s="223">
        <f>IF(BU67&lt;MAX(BU:BU),0,BU67+ROW()/1000000000)</f>
        <v>0</v>
      </c>
      <c r="BW67" s="222">
        <f>IF(BV67=0,0,RANK(BV67,BV:BV))</f>
        <v>0</v>
      </c>
    </row>
    <row r="68" spans="1:75" ht="17.100000000000001" customHeight="1" x14ac:dyDescent="0.25">
      <c r="A68" s="378"/>
      <c r="B68" s="19" t="str">
        <f t="shared" ref="B68:D80" si="73">IF(S68=0,"",S68)</f>
        <v/>
      </c>
      <c r="C68" s="20" t="str">
        <f t="shared" si="73"/>
        <v/>
      </c>
      <c r="D68" s="15" t="str">
        <f t="shared" si="73"/>
        <v/>
      </c>
      <c r="E68" s="357"/>
      <c r="F68" s="15" t="str">
        <f t="shared" si="54"/>
        <v/>
      </c>
      <c r="G68" s="357"/>
      <c r="H68" s="15" t="str">
        <f t="shared" si="55"/>
        <v/>
      </c>
      <c r="I68" s="357"/>
      <c r="J68" s="15" t="str">
        <f t="shared" si="56"/>
        <v/>
      </c>
      <c r="K68" s="357"/>
      <c r="L68" s="15" t="str">
        <f t="shared" si="57"/>
        <v/>
      </c>
      <c r="M68" s="357"/>
      <c r="N68" s="15" t="str">
        <f t="shared" si="58"/>
        <v/>
      </c>
      <c r="O68" s="357"/>
      <c r="R68" s="360"/>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4">+BR67</f>
        <v>Mainauenbowler Bayreuth Land</v>
      </c>
      <c r="BS68" s="222">
        <f t="shared" si="72"/>
        <v>2</v>
      </c>
      <c r="BT68" s="223">
        <f t="shared" ref="BT68:BT78" si="75">SUMIF(BH68:BM68,"&gt;0")</f>
        <v>0</v>
      </c>
      <c r="BU68" s="223">
        <f>IF(COUNTIF(BH68:BM68,"&gt;0")&lt;Spielorte!$A$23,0,BE68/Spielorte!$A$23)</f>
        <v>0</v>
      </c>
      <c r="BV68" s="223">
        <f t="shared" ref="BV68:BV78" si="76">IF(BU68&lt;MAX(BU:BU),0,BU68+ROW()/1000000000)</f>
        <v>0</v>
      </c>
      <c r="BW68" s="222">
        <f t="shared" ref="BW68:BW78" si="77">IF(BV68=0,0,RANK(BV68,BV:BV))</f>
        <v>0</v>
      </c>
    </row>
    <row r="69" spans="1:75" ht="17.100000000000001" customHeight="1" thickBot="1" x14ac:dyDescent="0.3">
      <c r="A69" s="379"/>
      <c r="B69" s="21" t="str">
        <f t="shared" si="73"/>
        <v/>
      </c>
      <c r="C69" s="22" t="str">
        <f t="shared" si="73"/>
        <v/>
      </c>
      <c r="D69" s="9" t="str">
        <f t="shared" si="73"/>
        <v/>
      </c>
      <c r="E69" s="358"/>
      <c r="F69" s="9" t="str">
        <f t="shared" si="54"/>
        <v/>
      </c>
      <c r="G69" s="358"/>
      <c r="H69" s="9" t="str">
        <f t="shared" si="55"/>
        <v/>
      </c>
      <c r="I69" s="358"/>
      <c r="J69" s="9" t="str">
        <f t="shared" si="56"/>
        <v/>
      </c>
      <c r="K69" s="358"/>
      <c r="L69" s="9" t="str">
        <f t="shared" si="57"/>
        <v/>
      </c>
      <c r="M69" s="358"/>
      <c r="N69" s="9" t="str">
        <f t="shared" si="58"/>
        <v/>
      </c>
      <c r="O69" s="358"/>
      <c r="R69" s="361"/>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4"/>
        <v>Mainauenbowler Bayreuth Land</v>
      </c>
      <c r="BS69" s="222">
        <f t="shared" si="72"/>
        <v>2</v>
      </c>
      <c r="BT69" s="223">
        <f t="shared" si="75"/>
        <v>0</v>
      </c>
      <c r="BU69" s="223">
        <f>IF(COUNTIF(BH69:BM69,"&gt;0")&lt;Spielorte!$A$23,0,BE69/Spielorte!$A$23)</f>
        <v>0</v>
      </c>
      <c r="BV69" s="223">
        <f t="shared" si="76"/>
        <v>0</v>
      </c>
      <c r="BW69" s="222">
        <f t="shared" si="77"/>
        <v>0</v>
      </c>
    </row>
    <row r="70" spans="1:75" ht="17.100000000000001" customHeight="1" x14ac:dyDescent="0.25">
      <c r="A70" s="377" t="s">
        <v>2</v>
      </c>
      <c r="B70" s="17" t="str">
        <f t="shared" si="73"/>
        <v/>
      </c>
      <c r="C70" s="18" t="str">
        <f t="shared" si="73"/>
        <v/>
      </c>
      <c r="D70" s="14" t="str">
        <f t="shared" si="73"/>
        <v/>
      </c>
      <c r="E70" s="356" t="e">
        <f>IF(V70="","",V70)</f>
        <v>#N/A</v>
      </c>
      <c r="F70" s="14" t="str">
        <f t="shared" si="54"/>
        <v/>
      </c>
      <c r="G70" s="356" t="e">
        <f>IF(X70="","",X70)</f>
        <v>#N/A</v>
      </c>
      <c r="H70" s="14" t="str">
        <f t="shared" si="55"/>
        <v/>
      </c>
      <c r="I70" s="356" t="e">
        <f>IF(Z70="","",Z70)</f>
        <v>#N/A</v>
      </c>
      <c r="J70" s="14" t="str">
        <f t="shared" si="56"/>
        <v/>
      </c>
      <c r="K70" s="356" t="e">
        <f>IF(AB70="","",AB70)</f>
        <v>#N/A</v>
      </c>
      <c r="L70" s="14" t="str">
        <f t="shared" si="57"/>
        <v/>
      </c>
      <c r="M70" s="356" t="e">
        <f>IF(AD70="","",AD70)</f>
        <v>#N/A</v>
      </c>
      <c r="N70" s="14" t="str">
        <f t="shared" si="58"/>
        <v/>
      </c>
      <c r="O70" s="356" t="e">
        <f>IF(AH70="","",AH70)</f>
        <v>#N/A</v>
      </c>
      <c r="R70" s="359"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4"/>
        <v>Mainauenbowler Bayreuth Land</v>
      </c>
      <c r="BS70" s="222">
        <f t="shared" si="72"/>
        <v>2</v>
      </c>
      <c r="BT70" s="223">
        <f t="shared" si="75"/>
        <v>0</v>
      </c>
      <c r="BU70" s="223">
        <f>IF(COUNTIF(BH70:BM70,"&gt;0")&lt;Spielorte!$A$23,0,BE70/Spielorte!$A$23)</f>
        <v>0</v>
      </c>
      <c r="BV70" s="223">
        <f t="shared" si="76"/>
        <v>0</v>
      </c>
      <c r="BW70" s="222">
        <f t="shared" si="77"/>
        <v>0</v>
      </c>
    </row>
    <row r="71" spans="1:75" ht="17.100000000000001" customHeight="1" x14ac:dyDescent="0.25">
      <c r="A71" s="378"/>
      <c r="B71" s="19" t="str">
        <f t="shared" si="73"/>
        <v/>
      </c>
      <c r="C71" s="20" t="str">
        <f t="shared" si="73"/>
        <v/>
      </c>
      <c r="D71" s="15" t="str">
        <f t="shared" si="73"/>
        <v/>
      </c>
      <c r="E71" s="357"/>
      <c r="F71" s="15" t="str">
        <f t="shared" si="54"/>
        <v/>
      </c>
      <c r="G71" s="357"/>
      <c r="H71" s="15" t="str">
        <f t="shared" si="55"/>
        <v/>
      </c>
      <c r="I71" s="357"/>
      <c r="J71" s="15" t="str">
        <f t="shared" si="56"/>
        <v/>
      </c>
      <c r="K71" s="357"/>
      <c r="L71" s="15" t="str">
        <f t="shared" si="57"/>
        <v/>
      </c>
      <c r="M71" s="357"/>
      <c r="N71" s="15" t="str">
        <f t="shared" si="58"/>
        <v/>
      </c>
      <c r="O71" s="357"/>
      <c r="R71" s="360"/>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4"/>
        <v>Mainauenbowler Bayreuth Land</v>
      </c>
      <c r="BS71" s="222">
        <f t="shared" si="72"/>
        <v>2</v>
      </c>
      <c r="BT71" s="223">
        <f t="shared" si="75"/>
        <v>0</v>
      </c>
      <c r="BU71" s="223">
        <f>IF(COUNTIF(BH71:BM71,"&gt;0")&lt;Spielorte!$A$23,0,BE71/Spielorte!$A$23)</f>
        <v>0</v>
      </c>
      <c r="BV71" s="223">
        <f t="shared" si="76"/>
        <v>0</v>
      </c>
      <c r="BW71" s="222">
        <f t="shared" si="77"/>
        <v>0</v>
      </c>
    </row>
    <row r="72" spans="1:75" ht="17.100000000000001" customHeight="1" thickBot="1" x14ac:dyDescent="0.3">
      <c r="A72" s="379"/>
      <c r="B72" s="21" t="str">
        <f t="shared" si="73"/>
        <v/>
      </c>
      <c r="C72" s="22" t="str">
        <f t="shared" si="73"/>
        <v/>
      </c>
      <c r="D72" s="9" t="str">
        <f t="shared" si="73"/>
        <v/>
      </c>
      <c r="E72" s="358"/>
      <c r="F72" s="9" t="str">
        <f t="shared" si="54"/>
        <v/>
      </c>
      <c r="G72" s="358"/>
      <c r="H72" s="9" t="str">
        <f t="shared" si="55"/>
        <v/>
      </c>
      <c r="I72" s="358"/>
      <c r="J72" s="9" t="str">
        <f t="shared" si="56"/>
        <v/>
      </c>
      <c r="K72" s="358"/>
      <c r="L72" s="9" t="str">
        <f t="shared" si="57"/>
        <v/>
      </c>
      <c r="M72" s="358"/>
      <c r="N72" s="9" t="str">
        <f t="shared" si="58"/>
        <v/>
      </c>
      <c r="O72" s="358"/>
      <c r="R72" s="361"/>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4"/>
        <v>Mainauenbowler Bayreuth Land</v>
      </c>
      <c r="BS72" s="222">
        <f t="shared" si="72"/>
        <v>2</v>
      </c>
      <c r="BT72" s="223">
        <f t="shared" si="75"/>
        <v>0</v>
      </c>
      <c r="BU72" s="223">
        <f>IF(COUNTIF(BH72:BM72,"&gt;0")&lt;Spielorte!$A$23,0,BE72/Spielorte!$A$23)</f>
        <v>0</v>
      </c>
      <c r="BV72" s="223">
        <f t="shared" si="76"/>
        <v>0</v>
      </c>
      <c r="BW72" s="222">
        <f t="shared" si="77"/>
        <v>0</v>
      </c>
    </row>
    <row r="73" spans="1:75" ht="17.100000000000001" customHeight="1" x14ac:dyDescent="0.25">
      <c r="A73" s="377" t="s">
        <v>3</v>
      </c>
      <c r="B73" s="17" t="str">
        <f t="shared" si="73"/>
        <v/>
      </c>
      <c r="C73" s="18" t="str">
        <f t="shared" si="73"/>
        <v/>
      </c>
      <c r="D73" s="14" t="str">
        <f t="shared" si="73"/>
        <v/>
      </c>
      <c r="E73" s="356" t="e">
        <f>IF(V73="","",V73)</f>
        <v>#N/A</v>
      </c>
      <c r="F73" s="14" t="str">
        <f t="shared" si="54"/>
        <v/>
      </c>
      <c r="G73" s="356" t="e">
        <f>IF(X73="","",X73)</f>
        <v>#N/A</v>
      </c>
      <c r="H73" s="14" t="str">
        <f t="shared" si="55"/>
        <v/>
      </c>
      <c r="I73" s="356" t="e">
        <f>IF(Z73="","",Z73)</f>
        <v>#N/A</v>
      </c>
      <c r="J73" s="14" t="str">
        <f t="shared" si="56"/>
        <v/>
      </c>
      <c r="K73" s="356" t="e">
        <f>IF(AB73="","",AB73)</f>
        <v>#N/A</v>
      </c>
      <c r="L73" s="14" t="str">
        <f t="shared" si="57"/>
        <v/>
      </c>
      <c r="M73" s="356" t="e">
        <f>IF(AD73="","",AD73)</f>
        <v>#N/A</v>
      </c>
      <c r="N73" s="14" t="str">
        <f t="shared" si="58"/>
        <v/>
      </c>
      <c r="O73" s="356" t="e">
        <f>IF(AH73="","",AH73)</f>
        <v>#N/A</v>
      </c>
      <c r="R73" s="359"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4"/>
        <v>Mainauenbowler Bayreuth Land</v>
      </c>
      <c r="BS73" s="222">
        <f t="shared" si="72"/>
        <v>2</v>
      </c>
      <c r="BT73" s="223">
        <f t="shared" si="75"/>
        <v>0</v>
      </c>
      <c r="BU73" s="223">
        <f>IF(COUNTIF(BH73:BM73,"&gt;0")&lt;Spielorte!$A$23,0,BE73/Spielorte!$A$23)</f>
        <v>0</v>
      </c>
      <c r="BV73" s="223">
        <f t="shared" si="76"/>
        <v>0</v>
      </c>
      <c r="BW73" s="222">
        <f t="shared" si="77"/>
        <v>0</v>
      </c>
    </row>
    <row r="74" spans="1:75" ht="17.100000000000001" customHeight="1" x14ac:dyDescent="0.25">
      <c r="A74" s="378"/>
      <c r="B74" s="19" t="str">
        <f t="shared" si="73"/>
        <v/>
      </c>
      <c r="C74" s="20" t="str">
        <f t="shared" si="73"/>
        <v/>
      </c>
      <c r="D74" s="15" t="str">
        <f t="shared" si="73"/>
        <v/>
      </c>
      <c r="E74" s="357"/>
      <c r="F74" s="15" t="str">
        <f t="shared" si="54"/>
        <v/>
      </c>
      <c r="G74" s="357"/>
      <c r="H74" s="15" t="str">
        <f t="shared" si="55"/>
        <v/>
      </c>
      <c r="I74" s="357"/>
      <c r="J74" s="15" t="str">
        <f t="shared" si="56"/>
        <v/>
      </c>
      <c r="K74" s="357"/>
      <c r="L74" s="15" t="str">
        <f t="shared" si="57"/>
        <v/>
      </c>
      <c r="M74" s="357"/>
      <c r="N74" s="15" t="str">
        <f t="shared" si="58"/>
        <v/>
      </c>
      <c r="O74" s="357"/>
      <c r="R74" s="360"/>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4"/>
        <v>Mainauenbowler Bayreuth Land</v>
      </c>
      <c r="BS74" s="222">
        <f t="shared" si="72"/>
        <v>2</v>
      </c>
      <c r="BT74" s="223">
        <f t="shared" si="75"/>
        <v>0</v>
      </c>
      <c r="BU74" s="223">
        <f>IF(COUNTIF(BH74:BM74,"&gt;0")&lt;Spielorte!$A$23,0,BE74/Spielorte!$A$23)</f>
        <v>0</v>
      </c>
      <c r="BV74" s="223">
        <f t="shared" si="76"/>
        <v>0</v>
      </c>
      <c r="BW74" s="222">
        <f t="shared" si="77"/>
        <v>0</v>
      </c>
    </row>
    <row r="75" spans="1:75" ht="17.100000000000001" customHeight="1" thickBot="1" x14ac:dyDescent="0.3">
      <c r="A75" s="379"/>
      <c r="B75" s="21" t="str">
        <f t="shared" si="73"/>
        <v/>
      </c>
      <c r="C75" s="22" t="str">
        <f t="shared" si="73"/>
        <v/>
      </c>
      <c r="D75" s="9" t="str">
        <f t="shared" si="73"/>
        <v/>
      </c>
      <c r="E75" s="358"/>
      <c r="F75" s="9" t="str">
        <f t="shared" si="54"/>
        <v/>
      </c>
      <c r="G75" s="358"/>
      <c r="H75" s="9" t="str">
        <f t="shared" si="55"/>
        <v/>
      </c>
      <c r="I75" s="358"/>
      <c r="J75" s="9" t="str">
        <f t="shared" si="56"/>
        <v/>
      </c>
      <c r="K75" s="358"/>
      <c r="L75" s="9" t="str">
        <f t="shared" si="57"/>
        <v/>
      </c>
      <c r="M75" s="358"/>
      <c r="N75" s="9" t="str">
        <f t="shared" si="58"/>
        <v/>
      </c>
      <c r="O75" s="358"/>
      <c r="R75" s="361"/>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4"/>
        <v>Mainauenbowler Bayreuth Land</v>
      </c>
      <c r="BS75" s="222">
        <f t="shared" si="72"/>
        <v>2</v>
      </c>
      <c r="BT75" s="223">
        <f t="shared" si="75"/>
        <v>0</v>
      </c>
      <c r="BU75" s="223">
        <f>IF(COUNTIF(BH75:BM75,"&gt;0")&lt;Spielorte!$A$23,0,BE75/Spielorte!$A$23)</f>
        <v>0</v>
      </c>
      <c r="BV75" s="223">
        <f t="shared" si="76"/>
        <v>0</v>
      </c>
      <c r="BW75" s="222">
        <f t="shared" si="77"/>
        <v>0</v>
      </c>
    </row>
    <row r="76" spans="1:75" ht="17.100000000000001" customHeight="1" x14ac:dyDescent="0.25">
      <c r="A76" s="377" t="s">
        <v>11</v>
      </c>
      <c r="B76" s="17" t="str">
        <f>IF(S76=0,"",S76)</f>
        <v/>
      </c>
      <c r="C76" s="18" t="str">
        <f t="shared" si="73"/>
        <v/>
      </c>
      <c r="D76" s="14" t="str">
        <f t="shared" si="73"/>
        <v/>
      </c>
      <c r="E76" s="356" t="e">
        <f>IF(V76="","",V76)</f>
        <v>#N/A</v>
      </c>
      <c r="F76" s="14" t="str">
        <f t="shared" si="54"/>
        <v/>
      </c>
      <c r="G76" s="356" t="e">
        <f>IF(X76="","",X76)</f>
        <v>#N/A</v>
      </c>
      <c r="H76" s="14" t="str">
        <f t="shared" si="55"/>
        <v/>
      </c>
      <c r="I76" s="356" t="e">
        <f>IF(Z76="","",Z76)</f>
        <v>#N/A</v>
      </c>
      <c r="J76" s="14" t="str">
        <f t="shared" si="56"/>
        <v/>
      </c>
      <c r="K76" s="356" t="e">
        <f>IF(AB76="","",AB76)</f>
        <v>#N/A</v>
      </c>
      <c r="L76" s="14" t="str">
        <f t="shared" si="57"/>
        <v/>
      </c>
      <c r="M76" s="356" t="e">
        <f>IF(AD76="","",AD76)</f>
        <v>#N/A</v>
      </c>
      <c r="N76" s="14" t="str">
        <f t="shared" si="58"/>
        <v/>
      </c>
      <c r="O76" s="356" t="e">
        <f>IF(AH76="","",AH76)</f>
        <v>#N/A</v>
      </c>
      <c r="R76" s="359"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4"/>
        <v>Mainauenbowler Bayreuth Land</v>
      </c>
      <c r="BS76" s="222">
        <f t="shared" si="72"/>
        <v>2</v>
      </c>
      <c r="BT76" s="223">
        <f t="shared" si="75"/>
        <v>0</v>
      </c>
      <c r="BU76" s="223">
        <f>IF(COUNTIF(BH76:BM76,"&gt;0")&lt;Spielorte!$A$23,0,BE76/Spielorte!$A$23)</f>
        <v>0</v>
      </c>
      <c r="BV76" s="223">
        <f t="shared" si="76"/>
        <v>0</v>
      </c>
      <c r="BW76" s="222">
        <f t="shared" si="77"/>
        <v>0</v>
      </c>
    </row>
    <row r="77" spans="1:75" ht="17.100000000000001" customHeight="1" x14ac:dyDescent="0.25">
      <c r="A77" s="378"/>
      <c r="B77" s="19" t="str">
        <f>IF(S77=0,"",S77)</f>
        <v/>
      </c>
      <c r="C77" s="20" t="str">
        <f t="shared" si="73"/>
        <v/>
      </c>
      <c r="D77" s="15" t="str">
        <f t="shared" si="73"/>
        <v/>
      </c>
      <c r="E77" s="357"/>
      <c r="F77" s="15" t="str">
        <f t="shared" si="54"/>
        <v/>
      </c>
      <c r="G77" s="357"/>
      <c r="H77" s="15" t="str">
        <f t="shared" si="55"/>
        <v/>
      </c>
      <c r="I77" s="357"/>
      <c r="J77" s="15" t="str">
        <f t="shared" si="56"/>
        <v/>
      </c>
      <c r="K77" s="357"/>
      <c r="L77" s="15" t="str">
        <f t="shared" si="57"/>
        <v/>
      </c>
      <c r="M77" s="357"/>
      <c r="N77" s="15" t="str">
        <f t="shared" si="58"/>
        <v/>
      </c>
      <c r="O77" s="357"/>
      <c r="R77" s="360"/>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4"/>
        <v>Mainauenbowler Bayreuth Land</v>
      </c>
      <c r="BS77" s="222">
        <f t="shared" si="72"/>
        <v>2</v>
      </c>
      <c r="BT77" s="223">
        <f t="shared" si="75"/>
        <v>0</v>
      </c>
      <c r="BU77" s="223">
        <f>IF(COUNTIF(BH77:BM77,"&gt;0")&lt;Spielorte!$A$23,0,BE77/Spielorte!$A$23)</f>
        <v>0</v>
      </c>
      <c r="BV77" s="223">
        <f t="shared" si="76"/>
        <v>0</v>
      </c>
      <c r="BW77" s="222">
        <f t="shared" si="77"/>
        <v>0</v>
      </c>
    </row>
    <row r="78" spans="1:75" ht="17.100000000000001" customHeight="1" thickBot="1" x14ac:dyDescent="0.3">
      <c r="A78" s="379"/>
      <c r="B78" s="21" t="str">
        <f>IF(S78=0,"",S78)</f>
        <v/>
      </c>
      <c r="C78" s="22" t="str">
        <f t="shared" si="73"/>
        <v/>
      </c>
      <c r="D78" s="9" t="str">
        <f t="shared" si="73"/>
        <v/>
      </c>
      <c r="E78" s="358"/>
      <c r="F78" s="9" t="str">
        <f t="shared" si="54"/>
        <v/>
      </c>
      <c r="G78" s="358"/>
      <c r="H78" s="9" t="str">
        <f t="shared" si="55"/>
        <v/>
      </c>
      <c r="I78" s="358"/>
      <c r="J78" s="9" t="str">
        <f t="shared" si="56"/>
        <v/>
      </c>
      <c r="K78" s="358"/>
      <c r="L78" s="9" t="str">
        <f t="shared" si="57"/>
        <v/>
      </c>
      <c r="M78" s="358"/>
      <c r="N78" s="9" t="str">
        <f t="shared" si="58"/>
        <v/>
      </c>
      <c r="O78" s="358"/>
      <c r="R78" s="361"/>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4"/>
        <v>Mainauenbowler Bayreuth Land</v>
      </c>
      <c r="BS78" s="222">
        <f t="shared" si="72"/>
        <v>2</v>
      </c>
      <c r="BT78" s="223">
        <f t="shared" si="75"/>
        <v>0</v>
      </c>
      <c r="BU78" s="223">
        <f>IF(COUNTIF(BH78:BM78,"&gt;0")&lt;Spielorte!$A$23,0,BE78/Spielorte!$A$23)</f>
        <v>0</v>
      </c>
      <c r="BV78" s="223">
        <f t="shared" si="76"/>
        <v>0</v>
      </c>
      <c r="BW78" s="222">
        <f t="shared" si="77"/>
        <v>0</v>
      </c>
    </row>
    <row r="79" spans="1:75" ht="27.75" customHeight="1" thickBot="1" x14ac:dyDescent="0.3">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54" t="str">
        <f t="shared" si="78"/>
        <v/>
      </c>
      <c r="E82" s="354" t="str">
        <f t="shared" si="78"/>
        <v/>
      </c>
      <c r="F82" s="354" t="str">
        <f t="shared" si="78"/>
        <v/>
      </c>
      <c r="G82" s="354" t="str">
        <f t="shared" si="78"/>
        <v/>
      </c>
      <c r="H82" s="354" t="str">
        <f t="shared" si="78"/>
        <v/>
      </c>
      <c r="I82" s="354" t="str">
        <f t="shared" si="78"/>
        <v/>
      </c>
      <c r="J82" s="354" t="str">
        <f t="shared" si="78"/>
        <v/>
      </c>
      <c r="K82" s="354" t="str">
        <f t="shared" si="78"/>
        <v/>
      </c>
      <c r="L82" s="354" t="str">
        <f t="shared" ref="L82:M84" si="79">IF(AC82=0,"",AC82)</f>
        <v/>
      </c>
      <c r="M82" s="354" t="str">
        <f t="shared" si="79"/>
        <v/>
      </c>
      <c r="N82" s="355"/>
      <c r="O82" s="355"/>
      <c r="S82" s="13" t="s">
        <v>1786</v>
      </c>
      <c r="T82" s="5" t="s">
        <v>1787</v>
      </c>
      <c r="U82" s="373">
        <f>VLOOKUP($S62,Schlüssel!$A$5:$CX$10,63)</f>
        <v>0</v>
      </c>
      <c r="V82" s="374"/>
      <c r="W82" s="373">
        <f>VLOOKUP($S62,Schlüssel!$A$5:$DQ$10,64)</f>
        <v>0</v>
      </c>
      <c r="X82" s="374"/>
      <c r="Y82" s="373">
        <f>VLOOKUP($S62,Schlüssel!$A$5:$DQ$10,65)</f>
        <v>0</v>
      </c>
      <c r="Z82" s="374"/>
      <c r="AA82" s="373">
        <f>VLOOKUP($S62,Schlüssel!$A$5:$DQ$10,66)</f>
        <v>0</v>
      </c>
      <c r="AB82" s="374"/>
      <c r="AC82" s="373">
        <f>VLOOKUP($S62,Schlüssel!$A$5:$DQ$10,67)</f>
        <v>0</v>
      </c>
      <c r="AD82" s="374"/>
      <c r="AE82" s="373">
        <f>VLOOKUP($S62,Schlüssel!$A$5:$DQ$10,68)</f>
        <v>0</v>
      </c>
      <c r="AF82" s="374"/>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51" t="e">
        <f t="shared" si="78"/>
        <v>#N/A</v>
      </c>
      <c r="E83" s="352" t="str">
        <f t="shared" si="78"/>
        <v/>
      </c>
      <c r="F83" s="351" t="e">
        <f t="shared" si="78"/>
        <v>#N/A</v>
      </c>
      <c r="G83" s="352" t="str">
        <f t="shared" si="78"/>
        <v/>
      </c>
      <c r="H83" s="351" t="e">
        <f t="shared" si="78"/>
        <v>#N/A</v>
      </c>
      <c r="I83" s="352" t="str">
        <f t="shared" si="78"/>
        <v/>
      </c>
      <c r="J83" s="351" t="e">
        <f t="shared" si="78"/>
        <v>#N/A</v>
      </c>
      <c r="K83" s="352" t="str">
        <f t="shared" si="78"/>
        <v/>
      </c>
      <c r="L83" s="351" t="e">
        <f t="shared" si="79"/>
        <v>#N/A</v>
      </c>
      <c r="M83" s="352" t="str">
        <f t="shared" si="79"/>
        <v/>
      </c>
      <c r="N83" s="353"/>
      <c r="O83" s="353"/>
      <c r="S83" s="4"/>
      <c r="T83" s="1"/>
      <c r="U83" s="351" t="e">
        <f>VLOOKUP(U82,Schlüssel!$A$5:$K$10,2)</f>
        <v>#N/A</v>
      </c>
      <c r="V83" s="352"/>
      <c r="W83" s="351" t="e">
        <f>VLOOKUP(W82,Schlüssel!$A$5:$K$10,2)</f>
        <v>#N/A</v>
      </c>
      <c r="X83" s="352"/>
      <c r="Y83" s="351" t="e">
        <f>VLOOKUP(Y82,Schlüssel!$A$5:$K$10,2)</f>
        <v>#N/A</v>
      </c>
      <c r="Z83" s="352"/>
      <c r="AA83" s="351" t="e">
        <f>VLOOKUP(AA82,Schlüssel!$A$5:$K$10,2)</f>
        <v>#N/A</v>
      </c>
      <c r="AB83" s="352"/>
      <c r="AC83" s="351" t="e">
        <f>VLOOKUP(AC82,Schlüssel!$A$5:$K$10,2)</f>
        <v>#N/A</v>
      </c>
      <c r="AD83" s="352"/>
      <c r="AE83" s="351" t="e">
        <f>VLOOKUP(AE82,Schlüssel!$A$5:$K$10,2)</f>
        <v>#N/A</v>
      </c>
      <c r="AF83" s="35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50" t="str">
        <f t="shared" si="78"/>
        <v/>
      </c>
      <c r="E84" s="350" t="str">
        <f t="shared" si="78"/>
        <v/>
      </c>
      <c r="F84" s="350" t="str">
        <f t="shared" si="78"/>
        <v/>
      </c>
      <c r="G84" s="350" t="str">
        <f t="shared" si="78"/>
        <v/>
      </c>
      <c r="H84" s="350" t="str">
        <f t="shared" si="78"/>
        <v/>
      </c>
      <c r="I84" s="350" t="str">
        <f t="shared" si="78"/>
        <v/>
      </c>
      <c r="J84" s="350" t="str">
        <f t="shared" si="78"/>
        <v/>
      </c>
      <c r="K84" s="350" t="str">
        <f t="shared" si="78"/>
        <v/>
      </c>
      <c r="L84" s="350" t="str">
        <f t="shared" si="79"/>
        <v/>
      </c>
      <c r="M84" s="350"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5" t="str">
        <f t="shared" ref="B85:C89" si="80">IF(S85=0,"",S85)</f>
        <v>Spieler 1</v>
      </c>
      <c r="C85" s="376" t="str">
        <f t="shared" si="80"/>
        <v/>
      </c>
      <c r="D85" s="348" t="e">
        <f>IF(U85=301,"",U85)</f>
        <v>#N/A</v>
      </c>
      <c r="E85" s="348" t="str">
        <f>IF(V85=0,"",V85)</f>
        <v/>
      </c>
      <c r="F85" s="348" t="e">
        <f>IF(W85=301,"",W85)</f>
        <v>#N/A</v>
      </c>
      <c r="G85" s="348" t="str">
        <f>IF(X85=0,"",X85)</f>
        <v/>
      </c>
      <c r="H85" s="348" t="e">
        <f>IF(Y85=301,"",Y85)</f>
        <v>#N/A</v>
      </c>
      <c r="I85" s="348" t="str">
        <f>IF(Z85=0,"",Z85)</f>
        <v/>
      </c>
      <c r="J85" s="348" t="e">
        <f>IF(AA85=301,"",AA85)</f>
        <v>#N/A</v>
      </c>
      <c r="K85" s="348" t="str">
        <f>IF(AB85=0,"",AB85)</f>
        <v/>
      </c>
      <c r="L85" s="348" t="e">
        <f>IF(AC85=301,"",AC85)</f>
        <v>#N/A</v>
      </c>
      <c r="M85" s="348" t="str">
        <f>IF(AD85=0,"",AD85)</f>
        <v/>
      </c>
      <c r="N85" s="349"/>
      <c r="O85" s="349"/>
      <c r="S85" s="35" t="s">
        <v>0</v>
      </c>
      <c r="T85" s="36"/>
      <c r="U85" s="371" t="e">
        <f>ABS(INDEX(U:U,MATCH(U82,$S:$S,0)+5)+INDEX(U:U,MATCH(U82,$S:$S,0)+6)+INDEX(U:U,MATCH(U82,$S:$S,0)+7))</f>
        <v>#N/A</v>
      </c>
      <c r="V85" s="372"/>
      <c r="W85" s="371" t="e">
        <f>ABS(INDEX(W:W,MATCH(W82,$S:$S,0)+5)+INDEX(W:W,MATCH(W82,$S:$S,0)+6)+INDEX(W:W,MATCH(W82,$S:$S,0)+7))</f>
        <v>#N/A</v>
      </c>
      <c r="X85" s="372"/>
      <c r="Y85" s="371" t="e">
        <f>ABS(INDEX(Y:Y,MATCH(Y82,$S:$S,0)+5)+INDEX(Y:Y,MATCH(Y82,$S:$S,0)+6)+INDEX(Y:Y,MATCH(Y82,$S:$S,0)+7))</f>
        <v>#N/A</v>
      </c>
      <c r="Z85" s="372"/>
      <c r="AA85" s="371" t="e">
        <f>ABS(INDEX(AA:AA,MATCH(AA82,$S:$S,0)+5)+INDEX(AA:AA,MATCH(AA82,$S:$S,0)+6)+INDEX(AA:AA,MATCH(AA82,$S:$S,0)+7))</f>
        <v>#N/A</v>
      </c>
      <c r="AB85" s="372"/>
      <c r="AC85" s="371" t="e">
        <f>ABS(INDEX(AC:AC,MATCH(AC82,$S:$S,0)+5)+INDEX(AC:AC,MATCH(AC82,$S:$S,0)+6)+INDEX(AC:AC,MATCH(AC82,$S:$S,0)+7))</f>
        <v>#N/A</v>
      </c>
      <c r="AD85" s="372"/>
      <c r="AE85" s="371" t="e">
        <f>ABS(INDEX(AE:AE,MATCH(AE82,$S:$S,0)+5)+INDEX(AE:AE,MATCH(AE82,$S:$S,0)+6)+INDEX(AE:AE,MATCH(AE82,$S:$S,0)+7))</f>
        <v>#N/A</v>
      </c>
      <c r="AF85" s="372"/>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5" t="str">
        <f t="shared" si="80"/>
        <v>Spieler 2</v>
      </c>
      <c r="C86" s="376" t="str">
        <f t="shared" si="80"/>
        <v/>
      </c>
      <c r="D86" s="348" t="e">
        <f>IF(U86=301,"",U86)</f>
        <v>#N/A</v>
      </c>
      <c r="E86" s="348" t="str">
        <f>IF(V86=0,"",V86)</f>
        <v/>
      </c>
      <c r="F86" s="348" t="e">
        <f>IF(W86=301,"",W86)</f>
        <v>#N/A</v>
      </c>
      <c r="G86" s="348" t="str">
        <f>IF(X86=0,"",X86)</f>
        <v/>
      </c>
      <c r="H86" s="348" t="e">
        <f>IF(Y86=301,"",Y86)</f>
        <v>#N/A</v>
      </c>
      <c r="I86" s="348" t="str">
        <f>IF(Z86=0,"",Z86)</f>
        <v/>
      </c>
      <c r="J86" s="348" t="e">
        <f>IF(AA86=301,"",AA86)</f>
        <v>#N/A</v>
      </c>
      <c r="K86" s="348" t="str">
        <f>IF(AB86=0,"",AB86)</f>
        <v/>
      </c>
      <c r="L86" s="348" t="e">
        <f>IF(AC86=301,"",AC86)</f>
        <v>#N/A</v>
      </c>
      <c r="M86" s="348" t="str">
        <f>IF(AD86=0,"",AD86)</f>
        <v/>
      </c>
      <c r="N86" s="349"/>
      <c r="O86" s="349"/>
      <c r="S86" s="35" t="s">
        <v>2</v>
      </c>
      <c r="T86" s="36"/>
      <c r="U86" s="369" t="e">
        <f>ABS(INDEX(U:U,MATCH(U82,$S:$S,0)+8)+INDEX(U:U,MATCH(U82,$S:$S,0)+9)+INDEX(U:U,MATCH(U82,$S:$S,0)+10))</f>
        <v>#N/A</v>
      </c>
      <c r="V86" s="370"/>
      <c r="W86" s="369" t="e">
        <f>ABS(INDEX(W:W,MATCH(W82,$S:$S,0)+8)+INDEX(W:W,MATCH(W82,$S:$S,0)+9)+INDEX(W:W,MATCH(W82,$S:$S,0)+10))</f>
        <v>#N/A</v>
      </c>
      <c r="X86" s="370"/>
      <c r="Y86" s="369" t="e">
        <f>ABS(INDEX(Y:Y,MATCH(Y82,$S:$S,0)+8)+INDEX(Y:Y,MATCH(Y82,$S:$S,0)+9)+INDEX(Y:Y,MATCH(Y82,$S:$S,0)+10))</f>
        <v>#N/A</v>
      </c>
      <c r="Z86" s="370"/>
      <c r="AA86" s="369" t="e">
        <f>ABS(INDEX(AA:AA,MATCH(AA82,$S:$S,0)+8)+INDEX(AA:AA,MATCH(AA82,$S:$S,0)+9)+INDEX(AA:AA,MATCH(AA82,$S:$S,0)+10))</f>
        <v>#N/A</v>
      </c>
      <c r="AB86" s="370"/>
      <c r="AC86" s="369" t="e">
        <f>ABS(INDEX(AC:AC,MATCH(AC82,$S:$S,0)+8)+INDEX(AC:AC,MATCH(AC82,$S:$S,0)+9)+INDEX(AC:AC,MATCH(AC82,$S:$S,0)+10))</f>
        <v>#N/A</v>
      </c>
      <c r="AD86" s="370"/>
      <c r="AE86" s="369" t="e">
        <f>ABS(INDEX(AE:AE,MATCH(AE82,$S:$S,0)+8)+INDEX(AE:AE,MATCH(AE82,$S:$S,0)+9)+INDEX(AE:AE,MATCH(AE82,$S:$S,0)+10))</f>
        <v>#N/A</v>
      </c>
      <c r="AF86" s="370"/>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5" t="str">
        <f t="shared" si="80"/>
        <v>Spieler 3</v>
      </c>
      <c r="C87" s="376" t="str">
        <f t="shared" si="80"/>
        <v/>
      </c>
      <c r="D87" s="348" t="e">
        <f>IF(U87=301,"",U87)</f>
        <v>#N/A</v>
      </c>
      <c r="E87" s="348" t="str">
        <f>IF(V87=0,"",V87)</f>
        <v/>
      </c>
      <c r="F87" s="348" t="e">
        <f>IF(W87=301,"",W87)</f>
        <v>#N/A</v>
      </c>
      <c r="G87" s="348" t="str">
        <f>IF(X87=0,"",X87)</f>
        <v/>
      </c>
      <c r="H87" s="348" t="e">
        <f>IF(Y87=301,"",Y87)</f>
        <v>#N/A</v>
      </c>
      <c r="I87" s="348" t="str">
        <f>IF(Z87=0,"",Z87)</f>
        <v/>
      </c>
      <c r="J87" s="348" t="e">
        <f>IF(AA87=301,"",AA87)</f>
        <v>#N/A</v>
      </c>
      <c r="K87" s="348" t="str">
        <f>IF(AB87=0,"",AB87)</f>
        <v/>
      </c>
      <c r="L87" s="348" t="e">
        <f>IF(AC87=301,"",AC87)</f>
        <v>#N/A</v>
      </c>
      <c r="M87" s="348" t="str">
        <f>IF(AD87=0,"",AD87)</f>
        <v/>
      </c>
      <c r="N87" s="349"/>
      <c r="O87" s="349"/>
      <c r="S87" s="35" t="s">
        <v>3</v>
      </c>
      <c r="T87" s="36"/>
      <c r="U87" s="369" t="e">
        <f>ABS(INDEX(U:U,MATCH(U82,$S:$S,0)+11)+INDEX(U:U,MATCH(U82,$S:$S,0)+12)+INDEX(U:U,MATCH(U82,$S:$S,0)+13))</f>
        <v>#N/A</v>
      </c>
      <c r="V87" s="370"/>
      <c r="W87" s="369" t="e">
        <f>ABS(INDEX(W:W,MATCH(W82,$S:$S,0)+11)+INDEX(W:W,MATCH(W82,$S:$S,0)+12)+INDEX(W:W,MATCH(W82,$S:$S,0)+13))</f>
        <v>#N/A</v>
      </c>
      <c r="X87" s="370"/>
      <c r="Y87" s="369" t="e">
        <f>ABS(INDEX(Y:Y,MATCH(Y82,$S:$S,0)+11)+INDEX(Y:Y,MATCH(Y82,$S:$S,0)+12)+INDEX(Y:Y,MATCH(Y82,$S:$S,0)+13))</f>
        <v>#N/A</v>
      </c>
      <c r="Z87" s="370"/>
      <c r="AA87" s="369" t="e">
        <f>ABS(INDEX(AA:AA,MATCH(AA82,$S:$S,0)+11)+INDEX(AA:AA,MATCH(AA82,$S:$S,0)+12)+INDEX(AA:AA,MATCH(AA82,$S:$S,0)+13))</f>
        <v>#N/A</v>
      </c>
      <c r="AB87" s="370"/>
      <c r="AC87" s="369" t="e">
        <f>ABS(INDEX(AC:AC,MATCH(AC82,$S:$S,0)+11)+INDEX(AC:AC,MATCH(AC82,$S:$S,0)+12)+INDEX(AC:AC,MATCH(AC82,$S:$S,0)+13))</f>
        <v>#N/A</v>
      </c>
      <c r="AD87" s="370"/>
      <c r="AE87" s="369" t="e">
        <f>ABS(INDEX(AE:AE,MATCH(AE82,$S:$S,0)+11)+INDEX(AE:AE,MATCH(AE82,$S:$S,0)+12)+INDEX(AE:AE,MATCH(AE82,$S:$S,0)+13))</f>
        <v>#N/A</v>
      </c>
      <c r="AF87" s="370"/>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5" t="str">
        <f t="shared" si="80"/>
        <v>Spieler 4</v>
      </c>
      <c r="C88" s="376" t="str">
        <f t="shared" si="80"/>
        <v/>
      </c>
      <c r="D88" s="348" t="e">
        <f>IF(U88=301,"",U88)</f>
        <v>#N/A</v>
      </c>
      <c r="E88" s="348" t="str">
        <f>IF(V88=0,"",V88)</f>
        <v/>
      </c>
      <c r="F88" s="348" t="e">
        <f>IF(W88=301,"",W88)</f>
        <v>#N/A</v>
      </c>
      <c r="G88" s="348" t="str">
        <f>IF(X88=0,"",X88)</f>
        <v/>
      </c>
      <c r="H88" s="348" t="e">
        <f>IF(Y88=301,"",Y88)</f>
        <v>#N/A</v>
      </c>
      <c r="I88" s="348" t="str">
        <f>IF(Z88=0,"",Z88)</f>
        <v/>
      </c>
      <c r="J88" s="348" t="e">
        <f>IF(AA88=301,"",AA88)</f>
        <v>#N/A</v>
      </c>
      <c r="K88" s="348" t="str">
        <f>IF(AB88=0,"",AB88)</f>
        <v/>
      </c>
      <c r="L88" s="348" t="e">
        <f>IF(AC88=301,"",AC88)</f>
        <v>#N/A</v>
      </c>
      <c r="M88" s="348" t="str">
        <f>IF(AD88=0,"",AD88)</f>
        <v/>
      </c>
      <c r="N88" s="349"/>
      <c r="O88" s="349"/>
      <c r="S88" s="35" t="s">
        <v>11</v>
      </c>
      <c r="T88" s="36"/>
      <c r="U88" s="369" t="e">
        <f>ABS(INDEX(U:U,MATCH(U82,$S:$S,0)+14)+INDEX(U:U,MATCH(U82,$S:$S,0)+15)+INDEX(U:U,MATCH(U82,$S:$S,0)+16))</f>
        <v>#N/A</v>
      </c>
      <c r="V88" s="370"/>
      <c r="W88" s="369" t="e">
        <f>ABS(INDEX(W:W,MATCH(W82,$S:$S,0)+14)+INDEX(W:W,MATCH(W82,$S:$S,0)+15)+INDEX(W:W,MATCH(W82,$S:$S,0)+16))</f>
        <v>#N/A</v>
      </c>
      <c r="X88" s="370"/>
      <c r="Y88" s="369" t="e">
        <f>ABS(INDEX(Y:Y,MATCH(Y82,$S:$S,0)+14)+INDEX(Y:Y,MATCH(Y82,$S:$S,0)+15)+INDEX(Y:Y,MATCH(Y82,$S:$S,0)+16))</f>
        <v>#N/A</v>
      </c>
      <c r="Z88" s="370"/>
      <c r="AA88" s="369" t="e">
        <f>ABS(INDEX(AA:AA,MATCH(AA82,$S:$S,0)+14)+INDEX(AA:AA,MATCH(AA82,$S:$S,0)+15)+INDEX(AA:AA,MATCH(AA82,$S:$S,0)+16))</f>
        <v>#N/A</v>
      </c>
      <c r="AB88" s="370"/>
      <c r="AC88" s="369" t="e">
        <f>ABS(INDEX(AC:AC,MATCH(AC82,$S:$S,0)+14)+INDEX(AC:AC,MATCH(AC82,$S:$S,0)+15)+INDEX(AC:AC,MATCH(AC82,$S:$S,0)+16))</f>
        <v>#N/A</v>
      </c>
      <c r="AD88" s="370"/>
      <c r="AE88" s="369" t="e">
        <f>ABS(INDEX(AE:AE,MATCH(AE82,$S:$S,0)+14)+INDEX(AE:AE,MATCH(AE82,$S:$S,0)+15)+INDEX(AE:AE,MATCH(AE82,$S:$S,0)+16))</f>
        <v>#N/A</v>
      </c>
      <c r="AF88" s="370"/>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3" t="str">
        <f t="shared" si="80"/>
        <v>Gesamt</v>
      </c>
      <c r="C89" s="364" t="str">
        <f t="shared" si="80"/>
        <v/>
      </c>
      <c r="D89" s="347" t="e">
        <f>IF(U89=1505,"",U89)</f>
        <v>#N/A</v>
      </c>
      <c r="E89" s="347" t="str">
        <f>IF(V89=0,"",V89)</f>
        <v/>
      </c>
      <c r="F89" s="347" t="e">
        <f>IF(W89=1505,"",W89)</f>
        <v>#N/A</v>
      </c>
      <c r="G89" s="347" t="str">
        <f>IF(X89=0,"",X89)</f>
        <v/>
      </c>
      <c r="H89" s="347" t="e">
        <f>IF(Y89=1505,"",Y89)</f>
        <v>#N/A</v>
      </c>
      <c r="I89" s="347" t="str">
        <f>IF(Z89=0,"",Z89)</f>
        <v/>
      </c>
      <c r="J89" s="347" t="e">
        <f>IF(AA89=1505,"",AA89)</f>
        <v>#N/A</v>
      </c>
      <c r="K89" s="347" t="str">
        <f>IF(AB89=0,"",AB89)</f>
        <v/>
      </c>
      <c r="L89" s="347" t="e">
        <f>IF(AC89=1505,"",AC89)</f>
        <v>#N/A</v>
      </c>
      <c r="M89" s="347" t="str">
        <f>IF(AD89=0,"",AD89)</f>
        <v/>
      </c>
      <c r="N89" s="312"/>
      <c r="O89" s="312"/>
      <c r="S89" s="37" t="s">
        <v>1788</v>
      </c>
      <c r="T89" s="38"/>
      <c r="U89" s="363" t="e">
        <f>SUM(U85:U88)</f>
        <v>#N/A</v>
      </c>
      <c r="V89" s="364"/>
      <c r="W89" s="363" t="e">
        <f>SUM(W85:W88)</f>
        <v>#N/A</v>
      </c>
      <c r="X89" s="364"/>
      <c r="Y89" s="363" t="e">
        <f>SUM(Y85:Y88)</f>
        <v>#N/A</v>
      </c>
      <c r="Z89" s="364"/>
      <c r="AA89" s="363" t="e">
        <f>SUM(AA85:AA88)</f>
        <v>#N/A</v>
      </c>
      <c r="AB89" s="364"/>
      <c r="AC89" s="363" t="e">
        <f>SUM(AC85:AC88)</f>
        <v>#N/A</v>
      </c>
      <c r="AD89" s="364"/>
      <c r="AE89" s="363" t="e">
        <f>SUM(AE85:AE88)</f>
        <v>#N/A</v>
      </c>
      <c r="AF89" s="364"/>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5">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5">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5">
      <c r="B93" t="str">
        <f>VLOOKUP(B92,Schlüssel!$A$5:$B$10,2)</f>
        <v>Mainauenbowler Bayreuth Land</v>
      </c>
      <c r="S93" t="str">
        <f>VLOOKUP(S92,Schlüssel!$A$5:$B$10,2)</f>
        <v>Mainauenbowler Bayreuth Land</v>
      </c>
    </row>
    <row r="94" spans="2:75" x14ac:dyDescent="0.25">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5">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5">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5">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0</v>
      </c>
      <c r="BR97" s="223" t="str">
        <f>+S93</f>
        <v>Mainauenbowler Bayreuth Land</v>
      </c>
      <c r="BS97" s="223">
        <f t="shared" ref="BS97:BS108" si="99">RANK(BQ97,BQ:BQ)</f>
        <v>2</v>
      </c>
      <c r="BT97" s="223">
        <f>SUMIF(BH97:BM97,"&gt;0")</f>
        <v>0</v>
      </c>
      <c r="BU97" s="223">
        <f>IF(COUNTIF(BH97:BM97,"&gt;0")&lt;Spielorte!$A$23,0,BE97/Spielorte!$A$23)</f>
        <v>0</v>
      </c>
      <c r="BV97" s="223">
        <f>IF(BU97&lt;MAX(BU:BU),0,BU97+ROW()/1000000000)</f>
        <v>0</v>
      </c>
      <c r="BW97" s="223">
        <f>IF(BV97=0,0,RANK(BV97,BV:BV))</f>
        <v>0</v>
      </c>
    </row>
    <row r="98" spans="1:75" x14ac:dyDescent="0.25">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0</v>
      </c>
      <c r="BR98" s="223" t="str">
        <f t="shared" ref="BR98:BR108" si="101">+BR97</f>
        <v>Mainauenbowler Bayreuth Land</v>
      </c>
      <c r="BS98" s="223">
        <f t="shared" si="99"/>
        <v>2</v>
      </c>
      <c r="BT98" s="223">
        <f t="shared" ref="BT98:BT108" si="102">SUMIF(BH98:BM98,"&gt;0")</f>
        <v>0</v>
      </c>
      <c r="BU98" s="223">
        <f>IF(COUNTIF(BH98:BM98,"&gt;0")&lt;Spielorte!$A$23,0,BE98/Spielorte!$A$23)</f>
        <v>0</v>
      </c>
      <c r="BV98" s="223">
        <f t="shared" ref="BV98:BV108" si="103">IF(BU98&lt;MAX(BU:BU),0,BU98+ROW()/1000000000)</f>
        <v>0</v>
      </c>
      <c r="BW98" s="223">
        <f t="shared" ref="BW98:BW108" si="104">IF(BV98=0,0,RANK(BV98,BV:BV))</f>
        <v>0</v>
      </c>
    </row>
    <row r="99" spans="1:75" x14ac:dyDescent="0.25">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0</v>
      </c>
      <c r="BR99" s="223" t="str">
        <f t="shared" si="101"/>
        <v>Mainauenbowler Bayreuth Land</v>
      </c>
      <c r="BS99" s="223">
        <f t="shared" si="99"/>
        <v>2</v>
      </c>
      <c r="BT99" s="223">
        <f t="shared" si="102"/>
        <v>0</v>
      </c>
      <c r="BU99" s="223">
        <f>IF(COUNTIF(BH99:BM99,"&gt;0")&lt;Spielorte!$A$23,0,BE99/Spielorte!$A$23)</f>
        <v>0</v>
      </c>
      <c r="BV99" s="223">
        <f t="shared" si="103"/>
        <v>0</v>
      </c>
      <c r="BW99" s="223">
        <f t="shared" si="104"/>
        <v>0</v>
      </c>
    </row>
    <row r="100" spans="1:75" x14ac:dyDescent="0.25">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0</v>
      </c>
      <c r="BR100" s="223" t="str">
        <f t="shared" si="101"/>
        <v>Mainauenbowler Bayreuth Land</v>
      </c>
      <c r="BS100" s="223">
        <f t="shared" si="99"/>
        <v>2</v>
      </c>
      <c r="BT100" s="223">
        <f t="shared" si="102"/>
        <v>0</v>
      </c>
      <c r="BU100" s="223">
        <f>IF(COUNTIF(BH100:BM100,"&gt;0")&lt;Spielorte!$A$23,0,BE100/Spielorte!$A$23)</f>
        <v>0</v>
      </c>
      <c r="BV100" s="223">
        <f t="shared" si="103"/>
        <v>0</v>
      </c>
      <c r="BW100" s="223">
        <f t="shared" si="104"/>
        <v>0</v>
      </c>
    </row>
    <row r="101" spans="1:75" x14ac:dyDescent="0.25">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0</v>
      </c>
      <c r="BR101" s="223" t="str">
        <f t="shared" si="101"/>
        <v>Mainauenbowler Bayreuth Land</v>
      </c>
      <c r="BS101" s="223">
        <f t="shared" si="99"/>
        <v>2</v>
      </c>
      <c r="BT101" s="223">
        <f t="shared" si="102"/>
        <v>0</v>
      </c>
      <c r="BU101" s="223">
        <f>IF(COUNTIF(BH101:BM101,"&gt;0")&lt;Spielorte!$A$23,0,BE101/Spielorte!$A$23)</f>
        <v>0</v>
      </c>
      <c r="BV101" s="223">
        <f t="shared" si="103"/>
        <v>0</v>
      </c>
      <c r="BW101" s="223">
        <f t="shared" si="104"/>
        <v>0</v>
      </c>
    </row>
    <row r="102" spans="1:75" x14ac:dyDescent="0.25">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0</v>
      </c>
      <c r="BR102" s="223" t="str">
        <f t="shared" si="101"/>
        <v>Mainauenbowler Bayreuth Land</v>
      </c>
      <c r="BS102" s="223">
        <f t="shared" si="99"/>
        <v>2</v>
      </c>
      <c r="BT102" s="223">
        <f t="shared" si="102"/>
        <v>0</v>
      </c>
      <c r="BU102" s="223">
        <f>IF(COUNTIF(BH102:BM102,"&gt;0")&lt;Spielorte!$A$23,0,BE102/Spielorte!$A$23)</f>
        <v>0</v>
      </c>
      <c r="BV102" s="223">
        <f t="shared" si="103"/>
        <v>0</v>
      </c>
      <c r="BW102" s="223">
        <f t="shared" si="104"/>
        <v>0</v>
      </c>
    </row>
    <row r="103" spans="1:75" x14ac:dyDescent="0.25">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0</v>
      </c>
      <c r="BR103" s="223" t="str">
        <f t="shared" si="101"/>
        <v>Mainauenbowler Bayreuth Land</v>
      </c>
      <c r="BS103" s="223">
        <f t="shared" si="99"/>
        <v>2</v>
      </c>
      <c r="BT103" s="223">
        <f t="shared" si="102"/>
        <v>0</v>
      </c>
      <c r="BU103" s="223">
        <f>IF(COUNTIF(BH103:BM103,"&gt;0")&lt;Spielorte!$A$23,0,BE103/Spielorte!$A$23)</f>
        <v>0</v>
      </c>
      <c r="BV103" s="223">
        <f t="shared" si="103"/>
        <v>0</v>
      </c>
      <c r="BW103" s="223">
        <f t="shared" si="104"/>
        <v>0</v>
      </c>
    </row>
    <row r="104" spans="1:75" x14ac:dyDescent="0.25">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0</v>
      </c>
      <c r="BR104" s="223" t="str">
        <f t="shared" si="101"/>
        <v>Mainauenbowler Bayreuth Land</v>
      </c>
      <c r="BS104" s="223">
        <f t="shared" si="99"/>
        <v>2</v>
      </c>
      <c r="BT104" s="223">
        <f t="shared" si="102"/>
        <v>0</v>
      </c>
      <c r="BU104" s="223">
        <f>IF(COUNTIF(BH104:BM104,"&gt;0")&lt;Spielorte!$A$23,0,BE104/Spielorte!$A$23)</f>
        <v>0</v>
      </c>
      <c r="BV104" s="223">
        <f t="shared" si="103"/>
        <v>0</v>
      </c>
      <c r="BW104" s="223">
        <f t="shared" si="104"/>
        <v>0</v>
      </c>
    </row>
    <row r="105" spans="1:75" x14ac:dyDescent="0.25">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0</v>
      </c>
      <c r="BR105" s="223" t="str">
        <f t="shared" si="101"/>
        <v>Mainauenbowler Bayreuth Land</v>
      </c>
      <c r="BS105" s="223">
        <f t="shared" si="99"/>
        <v>2</v>
      </c>
      <c r="BT105" s="223">
        <f t="shared" si="102"/>
        <v>0</v>
      </c>
      <c r="BU105" s="223">
        <f>IF(COUNTIF(BH105:BM105,"&gt;0")&lt;Spielorte!$A$23,0,BE105/Spielorte!$A$23)</f>
        <v>0</v>
      </c>
      <c r="BV105" s="223">
        <f t="shared" si="103"/>
        <v>0</v>
      </c>
      <c r="BW105" s="223">
        <f t="shared" si="104"/>
        <v>0</v>
      </c>
    </row>
    <row r="106" spans="1:75" x14ac:dyDescent="0.25">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0</v>
      </c>
      <c r="BR106" s="223" t="str">
        <f t="shared" si="101"/>
        <v>Mainauenbowler Bayreuth Land</v>
      </c>
      <c r="BS106" s="223">
        <f t="shared" si="99"/>
        <v>2</v>
      </c>
      <c r="BT106" s="223">
        <f t="shared" si="102"/>
        <v>0</v>
      </c>
      <c r="BU106" s="223">
        <f>IF(COUNTIF(BH106:BM106,"&gt;0")&lt;Spielorte!$A$23,0,BE106/Spielorte!$A$23)</f>
        <v>0</v>
      </c>
      <c r="BV106" s="223">
        <f t="shared" si="103"/>
        <v>0</v>
      </c>
      <c r="BW106" s="223">
        <f t="shared" si="104"/>
        <v>0</v>
      </c>
    </row>
    <row r="107" spans="1:75" x14ac:dyDescent="0.25">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0</v>
      </c>
      <c r="BR107" s="223" t="str">
        <f t="shared" si="101"/>
        <v>Mainauenbowler Bayreuth Land</v>
      </c>
      <c r="BS107" s="223">
        <f t="shared" si="99"/>
        <v>2</v>
      </c>
      <c r="BT107" s="223">
        <f t="shared" si="102"/>
        <v>0</v>
      </c>
      <c r="BU107" s="223">
        <f>IF(COUNTIF(BH107:BM107,"&gt;0")&lt;Spielorte!$A$23,0,BE107/Spielorte!$A$23)</f>
        <v>0</v>
      </c>
      <c r="BV107" s="223">
        <f t="shared" si="103"/>
        <v>0</v>
      </c>
      <c r="BW107" s="223">
        <f t="shared" si="104"/>
        <v>0</v>
      </c>
    </row>
    <row r="108" spans="1:75" x14ac:dyDescent="0.25">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0</v>
      </c>
      <c r="BR108" s="223" t="str">
        <f t="shared" si="101"/>
        <v>Mainauenbowler Bayreuth Land</v>
      </c>
      <c r="BS108" s="223">
        <f t="shared" si="99"/>
        <v>2</v>
      </c>
      <c r="BT108" s="223">
        <f t="shared" si="102"/>
        <v>0</v>
      </c>
      <c r="BU108" s="223">
        <f>IF(COUNTIF(BH108:BM108,"&gt;0")&lt;Spielorte!$A$23,0,BE108/Spielorte!$A$23)</f>
        <v>0</v>
      </c>
      <c r="BV108" s="223">
        <f t="shared" si="103"/>
        <v>0</v>
      </c>
      <c r="BW108" s="223">
        <f t="shared" si="104"/>
        <v>0</v>
      </c>
    </row>
    <row r="109" spans="1:75" x14ac:dyDescent="0.25">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5">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3</v>
      </c>
    </row>
    <row r="112" spans="1:75" x14ac:dyDescent="0.25">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5">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5">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5">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5">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5">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5">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5">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 ref="AE22:AF22"/>
    <mergeCell ref="AE23:AF23"/>
    <mergeCell ref="AE25:AF25"/>
    <mergeCell ref="AE26:AF26"/>
    <mergeCell ref="AE27:AF27"/>
    <mergeCell ref="AE28:AF28"/>
    <mergeCell ref="AE29:AF29"/>
    <mergeCell ref="AE52:AF52"/>
    <mergeCell ref="AD31:AH31"/>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B58:C58"/>
    <mergeCell ref="D58:E58"/>
    <mergeCell ref="F58:G58"/>
    <mergeCell ref="H58:I58"/>
    <mergeCell ref="J58:K58"/>
    <mergeCell ref="L58:M58"/>
    <mergeCell ref="N58:O58"/>
    <mergeCell ref="B57:C57"/>
    <mergeCell ref="D57:E57"/>
    <mergeCell ref="F57:G57"/>
    <mergeCell ref="H57:I57"/>
    <mergeCell ref="J57:K57"/>
    <mergeCell ref="L57:M57"/>
    <mergeCell ref="B56:C56"/>
    <mergeCell ref="D56:E56"/>
    <mergeCell ref="F56:G56"/>
    <mergeCell ref="H56:I56"/>
    <mergeCell ref="J56:K56"/>
    <mergeCell ref="D54:E54"/>
    <mergeCell ref="F54:G54"/>
    <mergeCell ref="H54:I54"/>
    <mergeCell ref="J54:K54"/>
    <mergeCell ref="B55:C55"/>
    <mergeCell ref="D55:E55"/>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R46:R48"/>
    <mergeCell ref="F55:G55"/>
    <mergeCell ref="H55:I55"/>
    <mergeCell ref="J55:K55"/>
    <mergeCell ref="L55:M55"/>
    <mergeCell ref="N52:O52"/>
    <mergeCell ref="D53:E53"/>
    <mergeCell ref="F53:G53"/>
    <mergeCell ref="H53:I53"/>
    <mergeCell ref="J53:K53"/>
    <mergeCell ref="L53:M53"/>
    <mergeCell ref="L54:M54"/>
    <mergeCell ref="N54:O54"/>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24:E24"/>
    <mergeCell ref="F24:G24"/>
    <mergeCell ref="H24:I24"/>
    <mergeCell ref="J24:K24"/>
    <mergeCell ref="L24:M24"/>
    <mergeCell ref="N24:O24"/>
    <mergeCell ref="B25:C25"/>
    <mergeCell ref="D25:E25"/>
    <mergeCell ref="F25:G25"/>
    <mergeCell ref="H25:I25"/>
    <mergeCell ref="J25:K25"/>
    <mergeCell ref="L25:M25"/>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A13:A15"/>
    <mergeCell ref="E13:E15"/>
    <mergeCell ref="G13:G15"/>
    <mergeCell ref="I13:I15"/>
    <mergeCell ref="K13:K15"/>
    <mergeCell ref="M13:M15"/>
    <mergeCell ref="A16:A18"/>
    <mergeCell ref="E16:E18"/>
    <mergeCell ref="G16:G18"/>
    <mergeCell ref="I16:I18"/>
    <mergeCell ref="K16:K18"/>
    <mergeCell ref="M16:M18"/>
    <mergeCell ref="A7:A9"/>
    <mergeCell ref="E7:E9"/>
    <mergeCell ref="G7:G9"/>
    <mergeCell ref="I7:I9"/>
    <mergeCell ref="K7:K9"/>
    <mergeCell ref="M7:M9"/>
    <mergeCell ref="A10:A12"/>
    <mergeCell ref="E10:E12"/>
    <mergeCell ref="G10:G12"/>
    <mergeCell ref="I10:I12"/>
    <mergeCell ref="K10:K12"/>
    <mergeCell ref="M10:M12"/>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U28:V28"/>
    <mergeCell ref="W28:X28"/>
    <mergeCell ref="Y28:Z28"/>
    <mergeCell ref="AA28:AB28"/>
    <mergeCell ref="AC28:AD28"/>
    <mergeCell ref="U29:V29"/>
    <mergeCell ref="W29:X29"/>
    <mergeCell ref="Y29:Z29"/>
    <mergeCell ref="AA29:AB29"/>
    <mergeCell ref="AC29:AD29"/>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1900-000000000000}">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rowBreaks count="1" manualBreakCount="1">
    <brk id="30" min="15" max="33"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F19"/>
  <sheetViews>
    <sheetView workbookViewId="0">
      <selection activeCell="C9" sqref="A7: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2" t="str">
        <f>Schlüssel!$C$1</f>
        <v>Landesliga Nord Frauen</v>
      </c>
      <c r="B1" s="382"/>
      <c r="C1" s="382" t="s">
        <v>1782</v>
      </c>
      <c r="D1" s="382"/>
      <c r="E1" s="382"/>
      <c r="F1" s="382"/>
      <c r="G1" s="382"/>
      <c r="H1" s="382"/>
      <c r="I1" s="382"/>
      <c r="J1" s="382"/>
      <c r="K1" s="382"/>
      <c r="L1" s="382"/>
      <c r="M1" s="382"/>
      <c r="N1" s="382"/>
      <c r="O1" s="382"/>
      <c r="P1" s="382" t="str">
        <f>+Erfassung4!AD1</f>
        <v>16.03.</v>
      </c>
      <c r="Q1" s="382"/>
      <c r="R1" s="51"/>
      <c r="S1" s="51"/>
      <c r="AA1" s="223" t="s">
        <v>2086</v>
      </c>
    </row>
    <row r="2" spans="1:31" ht="28.5" customHeight="1" x14ac:dyDescent="0.25">
      <c r="A2" s="383" t="str">
        <f>"Saison "&amp;Spielorte!C18&amp;"     -     Spieltag "&amp;Erfassung4!AD2&amp;"     -     "&amp;TEXT(Erfassung4!AD1,"T. MMMM JJJJ")</f>
        <v>Saison 2024/2025     -     Spieltag 4     -     16.03.</v>
      </c>
      <c r="B2" s="383"/>
      <c r="C2" s="383"/>
      <c r="D2" s="383"/>
      <c r="E2" s="383"/>
      <c r="F2" s="383"/>
      <c r="G2" s="383"/>
      <c r="H2" s="383"/>
      <c r="I2" s="383"/>
      <c r="J2" s="383"/>
      <c r="K2" s="383"/>
      <c r="L2" s="383"/>
      <c r="M2" s="383"/>
      <c r="N2" s="383"/>
      <c r="O2" s="383"/>
      <c r="P2" s="383"/>
      <c r="Q2" s="383"/>
      <c r="R2" s="51"/>
      <c r="S2" s="51"/>
    </row>
    <row r="3" spans="1:31" ht="28.5" customHeight="1" x14ac:dyDescent="0.25">
      <c r="A3" s="383" t="str">
        <f>+Erfassung4!V2</f>
        <v>Nürnberg West Bowling</v>
      </c>
      <c r="B3" s="383"/>
      <c r="C3" s="383"/>
      <c r="D3" s="383"/>
      <c r="E3" s="383"/>
      <c r="F3" s="383"/>
      <c r="G3" s="383"/>
      <c r="H3" s="383"/>
      <c r="I3" s="383"/>
      <c r="J3" s="383"/>
      <c r="K3" s="383"/>
      <c r="L3" s="383"/>
      <c r="M3" s="383"/>
      <c r="N3" s="383"/>
      <c r="O3" s="383"/>
      <c r="P3" s="383"/>
      <c r="Q3" s="383"/>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4" t="s">
        <v>1800</v>
      </c>
      <c r="B5" s="393" t="s">
        <v>1801</v>
      </c>
      <c r="C5" s="389" t="s">
        <v>1789</v>
      </c>
      <c r="D5" s="390"/>
      <c r="E5" s="389" t="s">
        <v>1790</v>
      </c>
      <c r="F5" s="390"/>
      <c r="G5" s="389" t="s">
        <v>1791</v>
      </c>
      <c r="H5" s="390"/>
      <c r="I5" s="389" t="s">
        <v>1792</v>
      </c>
      <c r="J5" s="390"/>
      <c r="K5" s="389" t="s">
        <v>1793</v>
      </c>
      <c r="L5" s="390"/>
      <c r="M5" s="395" t="s">
        <v>2088</v>
      </c>
      <c r="N5" s="390"/>
      <c r="O5" s="389" t="s">
        <v>1788</v>
      </c>
      <c r="P5" s="390"/>
      <c r="Q5" s="391" t="s">
        <v>1802</v>
      </c>
      <c r="R5" s="51"/>
      <c r="S5" s="51"/>
    </row>
    <row r="6" spans="1:31" ht="13.8" thickBot="1" x14ac:dyDescent="0.3">
      <c r="A6" s="385"/>
      <c r="B6" s="394"/>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2"/>
      <c r="R6" s="51"/>
      <c r="S6" s="51"/>
      <c r="AA6" s="223" t="s">
        <v>1796</v>
      </c>
      <c r="AB6" s="223" t="s">
        <v>2073</v>
      </c>
      <c r="AC6" s="223" t="s">
        <v>2085</v>
      </c>
      <c r="AD6" s="223" t="s">
        <v>1818</v>
      </c>
      <c r="AE6" s="223" t="s">
        <v>1815</v>
      </c>
    </row>
    <row r="7" spans="1:31" ht="42" customHeight="1" thickBot="1" x14ac:dyDescent="0.3">
      <c r="A7" s="217">
        <v>1</v>
      </c>
      <c r="B7" s="121" t="str">
        <f>INDEX(Erfassung4!$S:$S,MATCH($A7,Erfassung4!$BO:$BO,0)-17)</f>
        <v>BC Phönix Lauf</v>
      </c>
      <c r="C7" s="99">
        <f>INDEX(Erfassung4!U:U,MATCH($A7,Erfassung4!$BO:$BO,0)-1)</f>
        <v>653</v>
      </c>
      <c r="D7" s="100">
        <f>INDEX(Erfassung4!V:V,MATCH($A7,Erfassung4!$BO:$BO,0))</f>
        <v>3</v>
      </c>
      <c r="E7" s="99">
        <f>INDEX(Erfassung4!W:W,MATCH($A7,Erfassung4!$BO:$BO,0)-1)</f>
        <v>649</v>
      </c>
      <c r="F7" s="100">
        <f>INDEX(Erfassung4!X:X,MATCH($A7,Erfassung4!$BO:$BO,0))</f>
        <v>5</v>
      </c>
      <c r="G7" s="99">
        <f>INDEX(Erfassung4!Y:Y,MATCH($A7,Erfassung4!$BO:$BO,0)-1)</f>
        <v>667</v>
      </c>
      <c r="H7" s="100">
        <f>INDEX(Erfassung4!Z:Z,MATCH($A7,Erfassung4!$BO:$BO,0))</f>
        <v>5</v>
      </c>
      <c r="I7" s="99">
        <f>INDEX(Erfassung4!AA:AA,MATCH($A7,Erfassung4!$BO:$BO,0)-1)</f>
        <v>657</v>
      </c>
      <c r="J7" s="100">
        <f>INDEX(Erfassung4!AB:AB,MATCH($A7,Erfassung4!$BO:$BO,0))</f>
        <v>5</v>
      </c>
      <c r="K7" s="99">
        <f>INDEX(Erfassung4!AC:AC,MATCH($A7,Erfassung4!$BO:$BO,0)-1)</f>
        <v>682</v>
      </c>
      <c r="L7" s="100">
        <f>INDEX(Erfassung4!AD:AD,MATCH($A7,Erfassung4!$BO:$BO,0))</f>
        <v>5</v>
      </c>
      <c r="M7" s="99">
        <f>INDEX(Erfassung4!AE:AE,MATCH($A7,Erfassung4!$BO:$BO,0)-1)</f>
        <v>625</v>
      </c>
      <c r="N7" s="100">
        <f>INDEX(Erfassung4!AF:AF,MATCH($A7,Erfassung4!$BO:$BO,0))</f>
        <v>6</v>
      </c>
      <c r="O7" s="101">
        <f t="shared" ref="O7:P9" si="0">SUM(C7+E7+G7+I7+K7+M7)</f>
        <v>3933</v>
      </c>
      <c r="P7" s="102">
        <f t="shared" si="0"/>
        <v>29</v>
      </c>
      <c r="Q7" s="75">
        <f>IFERROR(O7/INDEX(Erfassung4!BF:BF,MATCH(A7,Erfassung4!BO:BO,0)),0)</f>
        <v>163.875</v>
      </c>
      <c r="R7" s="122"/>
      <c r="S7" s="51"/>
      <c r="AA7" s="221" t="e">
        <f>INDEX(TabGes3!I:I,MATCH(B7,TabGes3!B:B,0))+O7</f>
        <v>#N/A</v>
      </c>
      <c r="AB7" s="221">
        <f>IFERROR(INDEX(TabGes3!J:J,MATCH(B7,TabGes3!B:B,0)),0)+IFERROR(P7,0)</f>
        <v>29</v>
      </c>
      <c r="AC7" s="223" t="e">
        <f>+AB7+AA7/1000000000</f>
        <v>#N/A</v>
      </c>
      <c r="AD7" s="223" t="e">
        <f>RANK(AC7,AC:AC)</f>
        <v>#N/A</v>
      </c>
      <c r="AE7" s="223">
        <f>INDEX(Tabelle3!AE:AE,MATCH(B7,Tabelle3!B:B,0))+SUMIF(Erfassung4!BR:BR,B7,Erfassung4!BF:BF)</f>
        <v>48</v>
      </c>
    </row>
    <row r="8" spans="1:31" ht="42" customHeight="1" thickBot="1" x14ac:dyDescent="0.3">
      <c r="A8" s="217">
        <v>2</v>
      </c>
      <c r="B8" s="121" t="str">
        <f>INDEX(Erfassung4!$S:$S,MATCH($A8,Erfassung4!$BO:$BO,0)-17)</f>
        <v>Kleeblatt Fürth</v>
      </c>
      <c r="C8" s="99">
        <f>INDEX(Erfassung4!U:U,MATCH($A8,Erfassung4!$BO:$BO,0)-1)</f>
        <v>636</v>
      </c>
      <c r="D8" s="100">
        <f>INDEX(Erfassung4!V:V,MATCH($A8,Erfassung4!$BO:$BO,0))</f>
        <v>3</v>
      </c>
      <c r="E8" s="99">
        <f>INDEX(Erfassung4!W:W,MATCH($A8,Erfassung4!$BO:$BO,0)-1)</f>
        <v>626</v>
      </c>
      <c r="F8" s="100">
        <f>INDEX(Erfassung4!X:X,MATCH($A8,Erfassung4!$BO:$BO,0))</f>
        <v>1</v>
      </c>
      <c r="G8" s="99">
        <f>INDEX(Erfassung4!Y:Y,MATCH($A8,Erfassung4!$BO:$BO,0)-1)</f>
        <v>596</v>
      </c>
      <c r="H8" s="100">
        <f>INDEX(Erfassung4!Z:Z,MATCH($A8,Erfassung4!$BO:$BO,0))</f>
        <v>1</v>
      </c>
      <c r="I8" s="99">
        <f>INDEX(Erfassung4!AA:AA,MATCH($A8,Erfassung4!$BO:$BO,0)-1)</f>
        <v>608</v>
      </c>
      <c r="J8" s="100">
        <f>INDEX(Erfassung4!AB:AB,MATCH($A8,Erfassung4!$BO:$BO,0))</f>
        <v>1</v>
      </c>
      <c r="K8" s="99">
        <f>INDEX(Erfassung4!AC:AC,MATCH($A8,Erfassung4!$BO:$BO,0)-1)</f>
        <v>608</v>
      </c>
      <c r="L8" s="100">
        <f>INDEX(Erfassung4!AD:AD,MATCH($A8,Erfassung4!$BO:$BO,0))</f>
        <v>1</v>
      </c>
      <c r="M8" s="99">
        <f>INDEX(Erfassung4!AE:AE,MATCH($A8,Erfassung4!$BO:$BO,0)-1)</f>
        <v>560</v>
      </c>
      <c r="N8" s="100">
        <f>INDEX(Erfassung4!AF:AF,MATCH($A8,Erfassung4!$BO:$BO,0))</f>
        <v>0</v>
      </c>
      <c r="O8" s="101">
        <f t="shared" si="0"/>
        <v>3634</v>
      </c>
      <c r="P8" s="102">
        <f t="shared" si="0"/>
        <v>7</v>
      </c>
      <c r="Q8" s="75">
        <f>IFERROR(O8/INDEX(Erfassung4!BF:BF,MATCH(A8,Erfassung4!BO:BO,0)),0)</f>
        <v>151.41666666666666</v>
      </c>
      <c r="R8" s="122"/>
      <c r="S8" s="51"/>
      <c r="AA8" s="221" t="e">
        <f>INDEX(TabGes3!I:I,MATCH(B8,TabGes3!B:B,0))+O8</f>
        <v>#N/A</v>
      </c>
      <c r="AB8" s="221">
        <f>IFERROR(INDEX(TabGes3!J:J,MATCH(B8,TabGes3!B:B,0)),0)+IFERROR(P8,0)</f>
        <v>7</v>
      </c>
      <c r="AC8" s="223" t="e">
        <f>+AB8+AA8/1000000000</f>
        <v>#N/A</v>
      </c>
      <c r="AD8" s="223" t="e">
        <f>RANK(AC8,AC:AC)</f>
        <v>#N/A</v>
      </c>
      <c r="AE8" s="223">
        <f>INDEX(Tabelle3!AE:AE,MATCH(B8,Tabelle3!B:B,0))+SUMIF(Erfassung4!BR:BR,B8,Erfassung4!BF:BF)</f>
        <v>73</v>
      </c>
    </row>
    <row r="9" spans="1:31" ht="42" hidden="1" customHeight="1" thickBot="1" x14ac:dyDescent="0.3">
      <c r="A9" s="217">
        <v>3</v>
      </c>
      <c r="B9" s="121" t="str">
        <f>INDEX(Erfassung4!$S:$S,MATCH($A9,Erfassung4!$BO:$BO,0)-17)</f>
        <v>Mainauenbowler Bayreuth Land</v>
      </c>
      <c r="C9" s="99">
        <f>INDEX(Erfassung4!U:U,MATCH($A9,Erfassung4!$BO:$BO,0)-1)</f>
        <v>0</v>
      </c>
      <c r="D9" s="100" t="e">
        <f>INDEX(Erfassung4!V:V,MATCH($A9,Erfassung4!$BO:$BO,0))</f>
        <v>#N/A</v>
      </c>
      <c r="E9" s="99">
        <f>INDEX(Erfassung4!W:W,MATCH($A9,Erfassung4!$BO:$BO,0)-1)</f>
        <v>0</v>
      </c>
      <c r="F9" s="100" t="e">
        <f>INDEX(Erfassung4!X:X,MATCH($A9,Erfassung4!$BO:$BO,0))</f>
        <v>#N/A</v>
      </c>
      <c r="G9" s="99">
        <f>INDEX(Erfassung4!Y:Y,MATCH($A9,Erfassung4!$BO:$BO,0)-1)</f>
        <v>0</v>
      </c>
      <c r="H9" s="100" t="e">
        <f>INDEX(Erfassung4!Z:Z,MATCH($A9,Erfassung4!$BO:$BO,0))</f>
        <v>#N/A</v>
      </c>
      <c r="I9" s="99">
        <f>INDEX(Erfassung4!AA:AA,MATCH($A9,Erfassung4!$BO:$BO,0)-1)</f>
        <v>0</v>
      </c>
      <c r="J9" s="100" t="e">
        <f>INDEX(Erfassung4!AB:AB,MATCH($A9,Erfassung4!$BO:$BO,0))</f>
        <v>#N/A</v>
      </c>
      <c r="K9" s="99">
        <f>INDEX(Erfassung4!AC:AC,MATCH($A9,Erfassung4!$BO:$BO,0)-1)</f>
        <v>0</v>
      </c>
      <c r="L9" s="100" t="e">
        <f>INDEX(Erfassung4!AD:AD,MATCH($A9,Erfassung4!$BO:$BO,0))</f>
        <v>#N/A</v>
      </c>
      <c r="M9" s="99">
        <f>INDEX(Erfassung4!AE:AE,MATCH($A9,Erfassung4!$BO:$BO,0)-1)</f>
        <v>0</v>
      </c>
      <c r="N9" s="100" t="e">
        <f>INDEX(Erfassung4!AF:AF,MATCH($A9,Erfassung4!$BO:$BO,0))</f>
        <v>#N/A</v>
      </c>
      <c r="O9" s="101">
        <f t="shared" si="0"/>
        <v>0</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6" x14ac:dyDescent="0.3">
      <c r="B12" s="388" t="s">
        <v>1812</v>
      </c>
      <c r="C12" s="388"/>
      <c r="D12" s="388"/>
      <c r="E12" s="388"/>
      <c r="F12" s="388"/>
      <c r="G12" s="388"/>
      <c r="H12" s="388"/>
      <c r="I12" s="388"/>
      <c r="J12" s="388"/>
      <c r="K12" s="388"/>
      <c r="L12" s="388"/>
      <c r="M12" s="388"/>
      <c r="N12" s="388"/>
      <c r="O12" s="388"/>
      <c r="P12" s="388"/>
      <c r="Q12" s="388"/>
      <c r="R12" s="106"/>
      <c r="S12" s="106"/>
    </row>
    <row r="13" spans="1:31" x14ac:dyDescent="0.25">
      <c r="C13" s="386"/>
      <c r="D13" s="386"/>
      <c r="E13" s="386"/>
      <c r="F13" s="386"/>
      <c r="G13" s="386"/>
      <c r="H13" s="386"/>
    </row>
    <row r="14" spans="1:31" x14ac:dyDescent="0.25">
      <c r="B14" s="106" t="s">
        <v>1813</v>
      </c>
      <c r="C14" t="str">
        <f>IFERROR(INDEX(Erfassung4!S:S,MATCH(1,Erfassung4!BS:BS,0)),"")</f>
        <v/>
      </c>
      <c r="H14" t="str">
        <f>INDEX(Erfassung4!BR:BR,MATCH(C14,Erfassung4!S:S,0))</f>
        <v>Kleeblatt Fürth</v>
      </c>
      <c r="N14" s="104">
        <f>IFERROR(ROUND(INDEX(Erfassung4!BQ:BQ,MATCH(1,Erfassung4!BS:BS,0)),0),"")</f>
        <v>212</v>
      </c>
    </row>
    <row r="15" spans="1:31" x14ac:dyDescent="0.25">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5">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5">
      <c r="B17" s="106" t="s">
        <v>1814</v>
      </c>
      <c r="C17" t="str">
        <f>IFERROR(INDEX(Erfassung4!S:S,MATCH(1,Erfassung4!BW:BW,0)),"")</f>
        <v/>
      </c>
      <c r="H17" t="str">
        <f>INDEX(Erfassung4!BR:BR,MATCH(C17,Erfassung4!S:S,0))</f>
        <v>Kleeblatt Fürth</v>
      </c>
      <c r="N17" s="387" t="str">
        <f>IFERROR(ROUND(INDEX(Erfassung4!BT:BT,MATCH(1,Erfassung4!BW:BW,0)),0),"")&amp;"  /  "&amp;ROUND(IFERROR(ROUND(INDEX(Erfassung4!BT:BT,MATCH(1,Erfassung4!BW:BW,0)),0),"")/6,2)</f>
        <v>1095  /  182,5</v>
      </c>
      <c r="O17" s="387"/>
      <c r="R17" s="92"/>
    </row>
    <row r="18" spans="2:18" x14ac:dyDescent="0.25">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5">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A2:Q2"/>
    <mergeCell ref="A1:Q1"/>
    <mergeCell ref="A3:Q3"/>
    <mergeCell ref="A5:A6"/>
    <mergeCell ref="B5:B6"/>
    <mergeCell ref="C5:D5"/>
    <mergeCell ref="E5:F5"/>
    <mergeCell ref="G5:H5"/>
    <mergeCell ref="I5:J5"/>
    <mergeCell ref="M5:N5"/>
    <mergeCell ref="C13:H13"/>
    <mergeCell ref="N17:O17"/>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N9"/>
  <sheetViews>
    <sheetView workbookViewId="0">
      <selection activeCell="H18" sqref="H18"/>
    </sheetView>
  </sheetViews>
  <sheetFormatPr baseColWidth="10" defaultRowHeight="13.2" x14ac:dyDescent="0.25"/>
  <cols>
    <col min="1" max="1" width="4.109375" customWidth="1"/>
    <col min="2" max="2" width="18.44140625" customWidth="1"/>
    <col min="3" max="10" width="8.5546875" customWidth="1"/>
    <col min="11" max="11" width="13.44140625" customWidth="1"/>
    <col min="12" max="12" width="9.44140625" customWidth="1"/>
    <col min="14" max="14" width="6.44140625" customWidth="1"/>
  </cols>
  <sheetData>
    <row r="1" spans="1:14" ht="28.5" customHeight="1" x14ac:dyDescent="0.25">
      <c r="A1" s="382" t="str">
        <f>Schlüssel!$C$1</f>
        <v>Landesliga Nord Frauen</v>
      </c>
      <c r="B1" s="382"/>
      <c r="C1" s="382"/>
      <c r="D1" s="382"/>
      <c r="E1" s="382"/>
      <c r="F1" s="382"/>
      <c r="G1" s="382"/>
      <c r="H1" s="382"/>
      <c r="I1" s="382"/>
      <c r="J1" s="382"/>
      <c r="K1" s="382"/>
      <c r="L1" s="382"/>
      <c r="M1" s="382"/>
    </row>
    <row r="2" spans="1:14" ht="28.5" customHeight="1" x14ac:dyDescent="0.25">
      <c r="A2" s="383" t="str">
        <f>"Saison "&amp;Spielorte!C18&amp;"     -     Spieltag "&amp;Erfassung4!AD2&amp;"     -     "&amp;TEXT(Erfassung4!AD1,"T. MMMM JJJJ")</f>
        <v>Saison 2024/2025     -     Spieltag 4     -     16.03.</v>
      </c>
      <c r="B2" s="383"/>
      <c r="C2" s="383"/>
      <c r="D2" s="383"/>
      <c r="E2" s="383"/>
      <c r="F2" s="383"/>
      <c r="G2" s="383"/>
      <c r="H2" s="383"/>
      <c r="I2" s="383"/>
      <c r="J2" s="383"/>
      <c r="K2" s="383"/>
      <c r="L2" s="383"/>
      <c r="M2" s="383"/>
    </row>
    <row r="3" spans="1:14" ht="28.5" customHeight="1" x14ac:dyDescent="0.25">
      <c r="A3" s="382" t="s">
        <v>1859</v>
      </c>
      <c r="B3" s="382"/>
      <c r="C3" s="382"/>
      <c r="D3" s="382"/>
      <c r="E3" s="382"/>
      <c r="F3" s="382"/>
      <c r="G3" s="382"/>
      <c r="H3" s="382"/>
      <c r="I3" s="382"/>
      <c r="J3" s="382"/>
      <c r="K3" s="382"/>
      <c r="L3" s="382"/>
      <c r="M3" s="382"/>
    </row>
    <row r="4" spans="1:14" ht="28.5" customHeight="1" thickBot="1" x14ac:dyDescent="0.3">
      <c r="A4" s="218"/>
      <c r="B4" s="218"/>
      <c r="C4" s="87"/>
      <c r="D4" s="219"/>
      <c r="E4" s="219"/>
      <c r="F4" s="219"/>
      <c r="G4" s="219"/>
      <c r="H4" s="219"/>
      <c r="I4" s="219"/>
      <c r="J4" s="219"/>
      <c r="K4" s="219"/>
      <c r="L4" s="88"/>
      <c r="M4" s="162"/>
    </row>
    <row r="5" spans="1:14" x14ac:dyDescent="0.25">
      <c r="A5" s="384" t="s">
        <v>1800</v>
      </c>
      <c r="B5" s="393" t="s">
        <v>1801</v>
      </c>
      <c r="C5" s="389" t="s">
        <v>1804</v>
      </c>
      <c r="D5" s="390"/>
      <c r="E5" s="389" t="s">
        <v>1805</v>
      </c>
      <c r="F5" s="390"/>
      <c r="G5" s="389" t="s">
        <v>1806</v>
      </c>
      <c r="H5" s="390"/>
      <c r="I5" s="395" t="s">
        <v>1807</v>
      </c>
      <c r="J5" s="390"/>
      <c r="K5" s="389" t="s">
        <v>1788</v>
      </c>
      <c r="L5" s="390"/>
      <c r="M5" s="391" t="s">
        <v>1802</v>
      </c>
    </row>
    <row r="6" spans="1:14" ht="13.8" thickBot="1" x14ac:dyDescent="0.3">
      <c r="A6" s="385"/>
      <c r="B6" s="394"/>
      <c r="C6" s="73" t="s">
        <v>1796</v>
      </c>
      <c r="D6" s="74" t="s">
        <v>1797</v>
      </c>
      <c r="E6" s="73" t="s">
        <v>1796</v>
      </c>
      <c r="F6" s="74" t="s">
        <v>1797</v>
      </c>
      <c r="G6" s="73" t="s">
        <v>1796</v>
      </c>
      <c r="H6" s="74" t="s">
        <v>1797</v>
      </c>
      <c r="I6" s="73" t="s">
        <v>1796</v>
      </c>
      <c r="J6" s="74" t="s">
        <v>1797</v>
      </c>
      <c r="K6" s="73" t="s">
        <v>1796</v>
      </c>
      <c r="L6" s="74" t="s">
        <v>1797</v>
      </c>
      <c r="M6" s="392"/>
    </row>
    <row r="7" spans="1:14" ht="42" customHeight="1" thickBot="1" x14ac:dyDescent="0.3">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3">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3">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P104"/>
  <sheetViews>
    <sheetView view="pageBreakPreview" zoomScaleNormal="100" zoomScaleSheetLayoutView="100" workbookViewId="0">
      <selection activeCell="C9" sqref="A7: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7</v>
      </c>
    </row>
    <row r="3" spans="1:16" x14ac:dyDescent="0.25">
      <c r="L3" s="108">
        <f>INDEX(Starter!A:A,ROW()-1)</f>
        <v>38735</v>
      </c>
      <c r="M3" s="108">
        <f>SUMIF(Erfassung4!BD:BD,L3,Erfassung4!BE:BE)</f>
        <v>0</v>
      </c>
      <c r="N3" s="108">
        <f>SUMIF(Erfassung4!BD:BD,L3,Erfassung4!BG:BG)</f>
        <v>0</v>
      </c>
      <c r="O3" s="108">
        <f t="shared" si="0"/>
        <v>0</v>
      </c>
      <c r="P3" s="108">
        <f t="shared" si="1"/>
        <v>7</v>
      </c>
    </row>
    <row r="4" spans="1:16" x14ac:dyDescent="0.25">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7</v>
      </c>
    </row>
    <row r="5" spans="1:16" x14ac:dyDescent="0.25">
      <c r="A5" s="108">
        <v>1</v>
      </c>
      <c r="B5" s="108">
        <f t="shared" ref="B5:B68" si="2">IFERROR(INDEX(L:L,MATCH(A5,P:P,0)),"")</f>
        <v>38401</v>
      </c>
      <c r="C5" s="108" t="str">
        <f>IFERROR(INDEX(Starter!B:B,MATCH(B5,Starter!A:A,0)),"")</f>
        <v>Fischer, Marika</v>
      </c>
      <c r="D5" s="108" t="str">
        <f>IFERROR(INDEX(Starter!C:C,MATCH(B5,Starter!A:A,0)),"")</f>
        <v>BC Phönix 03 Lauf</v>
      </c>
      <c r="E5" s="117">
        <f t="shared" ref="E5:E68" si="3">IFERROR(INDEX(M:M,MATCH(A5,P:P,0)),"")</f>
        <v>1029</v>
      </c>
      <c r="F5" s="108">
        <f t="shared" ref="F5:F68" si="4">IFERROR(INDEX(N:N,MATCH(A5,P:P,0)),"")</f>
        <v>6</v>
      </c>
      <c r="G5" s="112">
        <f t="shared" ref="G5:G68" si="5">IFERROR(INDEX(O:O,MATCH(A5,P:P,0)),"")</f>
        <v>171.49999998600001</v>
      </c>
      <c r="L5" s="108">
        <f>INDEX(Starter!A:A,ROW()-1)</f>
        <v>25478</v>
      </c>
      <c r="M5" s="108">
        <f>SUMIF(Erfassung4!BD:BD,L5,Erfassung4!BE:BE)</f>
        <v>0</v>
      </c>
      <c r="N5" s="108">
        <f>SUMIF(Erfassung4!BD:BD,L5,Erfassung4!BG:BG)</f>
        <v>0</v>
      </c>
      <c r="O5" s="108">
        <f t="shared" si="0"/>
        <v>0</v>
      </c>
      <c r="P5" s="108">
        <f t="shared" si="1"/>
        <v>7</v>
      </c>
    </row>
    <row r="6" spans="1:16" x14ac:dyDescent="0.25">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996</v>
      </c>
      <c r="F6" s="108">
        <f t="shared" si="4"/>
        <v>6</v>
      </c>
      <c r="G6" s="112">
        <f t="shared" si="5"/>
        <v>165.99999999100001</v>
      </c>
      <c r="L6" s="108">
        <f>INDEX(Starter!A:A,ROW()-1)</f>
        <v>7154</v>
      </c>
      <c r="M6" s="108">
        <f>SUMIF(Erfassung4!BD:BD,L6,Erfassung4!BE:BE)</f>
        <v>0</v>
      </c>
      <c r="N6" s="108">
        <f>SUMIF(Erfassung4!BD:BD,L6,Erfassung4!BG:BG)</f>
        <v>0</v>
      </c>
      <c r="O6" s="108">
        <f t="shared" si="0"/>
        <v>0</v>
      </c>
      <c r="P6" s="108">
        <f t="shared" si="1"/>
        <v>7</v>
      </c>
    </row>
    <row r="7" spans="1:16" x14ac:dyDescent="0.25">
      <c r="A7" s="108">
        <f t="shared" si="6"/>
        <v>3</v>
      </c>
      <c r="B7" s="108">
        <f t="shared" si="2"/>
        <v>7956</v>
      </c>
      <c r="C7" s="108" t="str">
        <f>IFERROR(INDEX(Starter!B:B,MATCH(B7,Starter!A:A,0)),"")</f>
        <v>Herderich, Christine</v>
      </c>
      <c r="D7" s="108" t="str">
        <f>IFERROR(INDEX(Starter!C:C,MATCH(B7,Starter!A:A,0)),"")</f>
        <v>BC Kleeblatt Fürth</v>
      </c>
      <c r="E7" s="117">
        <f t="shared" si="3"/>
        <v>982</v>
      </c>
      <c r="F7" s="108">
        <f t="shared" si="4"/>
        <v>6</v>
      </c>
      <c r="G7" s="112">
        <f t="shared" si="5"/>
        <v>163.66666665966665</v>
      </c>
      <c r="L7" s="108">
        <f>INDEX(Starter!A:A,ROW()-1)</f>
        <v>7956</v>
      </c>
      <c r="M7" s="108">
        <f>SUMIF(Erfassung4!BD:BD,L7,Erfassung4!BE:BE)</f>
        <v>982</v>
      </c>
      <c r="N7" s="108">
        <f>SUMIF(Erfassung4!BD:BD,L7,Erfassung4!BG:BG)</f>
        <v>6</v>
      </c>
      <c r="O7" s="108">
        <f t="shared" si="0"/>
        <v>163.66666665966665</v>
      </c>
      <c r="P7" s="108">
        <f t="shared" si="1"/>
        <v>3</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945</v>
      </c>
      <c r="F8" s="108">
        <f t="shared" si="4"/>
        <v>6</v>
      </c>
      <c r="G8" s="112">
        <f t="shared" si="5"/>
        <v>157.499999984</v>
      </c>
      <c r="L8" s="108">
        <f>INDEX(Starter!A:A,ROW()-1)</f>
        <v>38697</v>
      </c>
      <c r="M8" s="108">
        <f>SUMIF(Erfassung4!BD:BD,L8,Erfassung4!BE:BE)</f>
        <v>847</v>
      </c>
      <c r="N8" s="108">
        <f>SUMIF(Erfassung4!BD:BD,L8,Erfassung4!BG:BG)</f>
        <v>6</v>
      </c>
      <c r="O8" s="108">
        <f t="shared" si="0"/>
        <v>141.16666665866666</v>
      </c>
      <c r="P8" s="108">
        <f t="shared" si="1"/>
        <v>5</v>
      </c>
    </row>
    <row r="9" spans="1:16" x14ac:dyDescent="0.25">
      <c r="A9" s="108">
        <f t="shared" si="6"/>
        <v>5</v>
      </c>
      <c r="B9" s="108">
        <f t="shared" si="2"/>
        <v>38697</v>
      </c>
      <c r="C9" s="108" t="str">
        <f>IFERROR(INDEX(Starter!B:B,MATCH(B9,Starter!A:A,0)),"")</f>
        <v>Beinlich, Gabriele</v>
      </c>
      <c r="D9" s="108" t="str">
        <f>IFERROR(INDEX(Starter!C:C,MATCH(B9,Starter!A:A,0)),"")</f>
        <v>BC Kleeblatt Fürth</v>
      </c>
      <c r="E9" s="117">
        <f t="shared" si="3"/>
        <v>847</v>
      </c>
      <c r="F9" s="108">
        <f t="shared" si="4"/>
        <v>6</v>
      </c>
      <c r="G9" s="112">
        <f t="shared" si="5"/>
        <v>141.16666665866666</v>
      </c>
      <c r="L9" s="108">
        <f>INDEX(Starter!A:A,ROW()-1)</f>
        <v>38512</v>
      </c>
      <c r="M9" s="108">
        <f>SUMIF(Erfassung4!BD:BD,L9,Erfassung4!BE:BE)</f>
        <v>996</v>
      </c>
      <c r="N9" s="108">
        <f>SUMIF(Erfassung4!BD:BD,L9,Erfassung4!BG:BG)</f>
        <v>6</v>
      </c>
      <c r="O9" s="108">
        <f t="shared" si="0"/>
        <v>165.99999999100001</v>
      </c>
      <c r="P9" s="108">
        <f t="shared" si="1"/>
        <v>2</v>
      </c>
    </row>
    <row r="10" spans="1:16" x14ac:dyDescent="0.25">
      <c r="A10" s="108">
        <f t="shared" si="6"/>
        <v>6</v>
      </c>
      <c r="B10" s="108">
        <f t="shared" si="2"/>
        <v>38825</v>
      </c>
      <c r="C10" s="108" t="str">
        <f>IFERROR(INDEX(Starter!B:B,MATCH(B10,Starter!A:A,0)),"")</f>
        <v>Röde, Sigrid</v>
      </c>
      <c r="D10" s="108" t="str">
        <f>IFERROR(INDEX(Starter!C:C,MATCH(B10,Starter!A:A,0)),"")</f>
        <v>BC Kleeblatt Fürth</v>
      </c>
      <c r="E10" s="117">
        <f t="shared" si="3"/>
        <v>809</v>
      </c>
      <c r="F10" s="108">
        <f t="shared" si="4"/>
        <v>6</v>
      </c>
      <c r="G10" s="112">
        <f t="shared" si="5"/>
        <v>134.83333332233335</v>
      </c>
      <c r="L10" s="108">
        <f>INDEX(Starter!A:A,ROW()-1)</f>
        <v>7952</v>
      </c>
      <c r="M10" s="108">
        <f>SUMIF(Erfassung4!BD:BD,L10,Erfassung4!BE:BE)</f>
        <v>0</v>
      </c>
      <c r="N10" s="108">
        <f>SUMIF(Erfassung4!BD:BD,L10,Erfassung4!BG:BG)</f>
        <v>0</v>
      </c>
      <c r="O10" s="108">
        <f t="shared" si="0"/>
        <v>0</v>
      </c>
      <c r="P10" s="108">
        <f t="shared" si="1"/>
        <v>7</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SUMIF(Erfassung4!BD:BD,L11,Erfassung4!BE:BE)</f>
        <v>809</v>
      </c>
      <c r="N11" s="108">
        <f>SUMIF(Erfassung4!BD:BD,L11,Erfassung4!BG:BG)</f>
        <v>6</v>
      </c>
      <c r="O11" s="108">
        <f t="shared" si="0"/>
        <v>134.83333332233335</v>
      </c>
      <c r="P11" s="108">
        <f t="shared" si="1"/>
        <v>6</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SUMIF(Erfassung4!BD:BD,L12,Erfassung4!BE:BE)</f>
        <v>0</v>
      </c>
      <c r="N12" s="108">
        <f>SUMIF(Erfassung4!BD:BD,L12,Erfassung4!BG:BG)</f>
        <v>0</v>
      </c>
      <c r="O12" s="108">
        <f t="shared" si="0"/>
        <v>0</v>
      </c>
      <c r="P12" s="108">
        <f t="shared" si="1"/>
        <v>7</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0</v>
      </c>
      <c r="N13" s="108">
        <f>SUMIF(Erfassung4!BD:BD,L13,Erfassung4!BG:BG)</f>
        <v>0</v>
      </c>
      <c r="O13" s="108">
        <f t="shared" si="0"/>
        <v>0</v>
      </c>
      <c r="P13" s="108">
        <f t="shared" si="1"/>
        <v>7</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1029</v>
      </c>
      <c r="N14" s="108">
        <f>SUMIF(Erfassung4!BD:BD,L14,Erfassung4!BG:BG)</f>
        <v>6</v>
      </c>
      <c r="O14" s="108">
        <f t="shared" si="0"/>
        <v>171.49999998600001</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7</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945</v>
      </c>
      <c r="N16" s="108">
        <f>SUMIF(Erfassung4!BD:BD,L16,Erfassung4!BG:BG)</f>
        <v>6</v>
      </c>
      <c r="O16" s="108">
        <f t="shared" si="0"/>
        <v>157.499999984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7</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7</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SUMIF(Erfassung4!BD:BD,L19,Erfassung4!BE:BE)</f>
        <v>0</v>
      </c>
      <c r="N19" s="108">
        <f>SUMIF(Erfassung4!BD:BD,L19,Erfassung4!BG:BG)</f>
        <v>0</v>
      </c>
      <c r="O19" s="108">
        <f t="shared" si="0"/>
        <v>0</v>
      </c>
      <c r="P19" s="108">
        <f t="shared" si="1"/>
        <v>7</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7</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7</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7</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7</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7</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7</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7</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7</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7</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7</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7</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7</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7</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7</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7</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7</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7</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7</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7</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7</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7</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7</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7</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7</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7</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7</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7</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7</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7</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7</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7</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7</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7</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7</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7</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7</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7</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7</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7</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7</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7</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7</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7</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7</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7</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7</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7</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7</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7</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7</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7</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7</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7</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7</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7</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7</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7</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7</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7</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7</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7</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7</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7</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7</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7</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7</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7</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7</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7</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7</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7</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7</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7</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7</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7</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7</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7</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7</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7</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7</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7</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7</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7</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7</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7</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1:P104"/>
  <sheetViews>
    <sheetView view="pageBreakPreview" topLeftCell="A28" zoomScaleNormal="100" zoomScaleSheetLayoutView="100" workbookViewId="0">
      <selection activeCell="C9" sqref="A7: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4</v>
      </c>
      <c r="D2" s="28" t="s">
        <v>1860</v>
      </c>
      <c r="E2" s="170"/>
      <c r="F2" s="171"/>
      <c r="L2" s="108">
        <f>INDEX(Starter!A:A,ROW()-1)</f>
        <v>7860</v>
      </c>
      <c r="M2">
        <f>INDEX(SchnittGes3!M:M,MATCH(L2,SchnittGes3!L:L,0))+INDEX(Schnitt4!M:M,MATCH(L2,Schnitt4!L:L,0))</f>
        <v>981</v>
      </c>
      <c r="N2">
        <f>INDEX(SchnittGes3!N:N,MATCH(L2,SchnittGes3!L:L,0))+INDEX(Schnitt4!N:N,MATCH(L2,Schnitt4!L:L,0))</f>
        <v>6</v>
      </c>
      <c r="O2">
        <f t="shared" ref="O2:O65" si="0">IF(N2=0,0,M2/N2-ROW()/1000000000)</f>
        <v>163.49999999799999</v>
      </c>
      <c r="P2">
        <f t="shared" ref="P2:P65" si="1">RANK(O2,O:O)</f>
        <v>5</v>
      </c>
    </row>
    <row r="3" spans="1:16" x14ac:dyDescent="0.25">
      <c r="L3" s="108">
        <f>INDEX(Starter!A:A,ROW()-1)</f>
        <v>38735</v>
      </c>
      <c r="M3">
        <f>INDEX(SchnittGes3!M:M,MATCH(L3,SchnittGes3!L:L,0))+INDEX(Schnitt4!M:M,MATCH(L3,Schnitt4!L:L,0))</f>
        <v>0</v>
      </c>
      <c r="N3">
        <f>INDEX(SchnittGes3!N:N,MATCH(L3,SchnittGes3!L:L,0))+INDEX(Schnitt4!N:N,MATCH(L3,Schnitt4!L:L,0))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INDEX(SchnittGes3!M:M,MATCH(L4,SchnittGes3!L:L,0))+INDEX(Schnitt4!M:M,MATCH(L4,Schnitt4!L:L,0))</f>
        <v>829</v>
      </c>
      <c r="N4">
        <f>INDEX(SchnittGes3!N:N,MATCH(L4,SchnittGes3!L:L,0))+INDEX(Schnitt4!N:N,MATCH(L4,Schnitt4!L:L,0))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INDEX(SchnittGes3!M:M,MATCH(L5,SchnittGes3!L:L,0))+INDEX(Schnitt4!M:M,MATCH(L5,Schnitt4!L:L,0))</f>
        <v>968</v>
      </c>
      <c r="N5">
        <f>INDEX(SchnittGes3!N:N,MATCH(L5,SchnittGes3!L:L,0))+INDEX(Schnitt4!N:N,MATCH(L5,Schnitt4!L:L,0))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INDEX(SchnittGes3!M:M,MATCH(L6,SchnittGes3!L:L,0))+INDEX(Schnitt4!M:M,MATCH(L6,Schnitt4!L:L,0))</f>
        <v>1121</v>
      </c>
      <c r="N6">
        <f>INDEX(SchnittGes3!N:N,MATCH(L6,SchnittGes3!L:L,0))+INDEX(Schnitt4!N:N,MATCH(L6,Schnitt4!L:L,0))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INDEX(SchnittGes3!M:M,MATCH(L7,SchnittGes3!L:L,0))+INDEX(Schnitt4!M:M,MATCH(L7,Schnitt4!L:L,0))</f>
        <v>2253</v>
      </c>
      <c r="N7">
        <f>INDEX(SchnittGes3!N:N,MATCH(L7,SchnittGes3!L:L,0))+INDEX(Schnitt4!N:N,MATCH(L7,Schnitt4!L:L,0))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INDEX(SchnittGes3!M:M,MATCH(L8,SchnittGes3!L:L,0))+INDEX(Schnitt4!M:M,MATCH(L8,Schnitt4!L:L,0))</f>
        <v>2612</v>
      </c>
      <c r="N8">
        <f>INDEX(SchnittGes3!N:N,MATCH(L8,SchnittGes3!L:L,0))+INDEX(Schnitt4!N:N,MATCH(L8,Schnitt4!L:L,0))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INDEX(SchnittGes3!M:M,MATCH(L9,SchnittGes3!L:L,0))+INDEX(Schnitt4!M:M,MATCH(L9,Schnitt4!L:L,0))</f>
        <v>2964</v>
      </c>
      <c r="N9">
        <f>INDEX(SchnittGes3!N:N,MATCH(L9,SchnittGes3!L:L,0))+INDEX(Schnitt4!N:N,MATCH(L9,Schnitt4!L:L,0))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INDEX(SchnittGes3!M:M,MATCH(L10,SchnittGes3!L:L,0))+INDEX(Schnitt4!M:M,MATCH(L10,Schnitt4!L:L,0))</f>
        <v>483</v>
      </c>
      <c r="N10">
        <f>INDEX(SchnittGes3!N:N,MATCH(L10,SchnittGes3!L:L,0))+INDEX(Schnitt4!N:N,MATCH(L10,Schnitt4!L:L,0))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INDEX(SchnittGes3!M:M,MATCH(L11,SchnittGes3!L:L,0))+INDEX(Schnitt4!M:M,MATCH(L11,Schnitt4!L:L,0))</f>
        <v>2695</v>
      </c>
      <c r="N11">
        <f>INDEX(SchnittGes3!N:N,MATCH(L11,SchnittGes3!L:L,0))+INDEX(Schnitt4!N:N,MATCH(L11,Schnitt4!L:L,0))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INDEX(SchnittGes3!M:M,MATCH(L12,SchnittGes3!L:L,0))+INDEX(Schnitt4!M:M,MATCH(L12,Schnitt4!L:L,0))</f>
        <v>0</v>
      </c>
      <c r="N12">
        <f>INDEX(SchnittGes3!N:N,MATCH(L12,SchnittGes3!L:L,0))+INDEX(Schnitt4!N:N,MATCH(L12,Schnitt4!L:L,0))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INDEX(SchnittGes3!M:M,MATCH(L13,SchnittGes3!L:L,0))+INDEX(Schnitt4!M:M,MATCH(L13,Schnitt4!L:L,0))</f>
        <v>577</v>
      </c>
      <c r="N13">
        <f>INDEX(SchnittGes3!N:N,MATCH(L13,SchnittGes3!L:L,0))+INDEX(Schnitt4!N:N,MATCH(L13,Schnitt4!L:L,0))</f>
        <v>3</v>
      </c>
      <c r="O13">
        <f t="shared" si="0"/>
        <v>192.33333332033334</v>
      </c>
      <c r="P13">
        <f t="shared" si="1"/>
        <v>1</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INDEX(SchnittGes3!M:M,MATCH(L14,SchnittGes3!L:L,0))+INDEX(Schnitt4!M:M,MATCH(L14,Schnitt4!L:L,0))</f>
        <v>2071</v>
      </c>
      <c r="N14">
        <f>INDEX(SchnittGes3!N:N,MATCH(L14,SchnittGes3!L:L,0))+INDEX(Schnitt4!N:N,MATCH(L14,Schnitt4!L:L,0))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INDEX(SchnittGes3!M:M,MATCH(L16,SchnittGes3!L:L,0))+INDEX(Schnitt4!M:M,MATCH(L16,Schnitt4!L:L,0))</f>
        <v>1905</v>
      </c>
      <c r="N16">
        <f>INDEX(SchnittGes3!N:N,MATCH(L16,SchnittGes3!L:L,0))+INDEX(Schnitt4!N:N,MATCH(L16,Schnitt4!L:L,0))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13</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INDEX(SchnittGes3!M:M,MATCH(L18,SchnittGes3!L:L,0))+INDEX(Schnitt4!M:M,MATCH(L18,Schnitt4!L:L,0))</f>
        <v>0</v>
      </c>
      <c r="N18">
        <f>INDEX(SchnittGes3!N:N,MATCH(L18,SchnittGes3!L:L,0))+INDEX(Schnitt4!N:N,MATCH(L18,Schnitt4!L:L,0))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INDEX(SchnittGes3!M:M,MATCH(L19,SchnittGes3!L:L,0))+INDEX(Schnitt4!M:M,MATCH(L19,Schnitt4!L:L,0))</f>
        <v>222</v>
      </c>
      <c r="N19">
        <f>INDEX(SchnittGes3!N:N,MATCH(L19,SchnittGes3!L:L,0))+INDEX(Schnitt4!N:N,MATCH(L19,Schnitt4!L:L,0))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autoPageBreaks="0"/>
  </sheetPr>
  <dimension ref="A1:V86"/>
  <sheetViews>
    <sheetView showGridLines="0" topLeftCell="A9" zoomScaleNormal="100" workbookViewId="0">
      <selection activeCell="C9" sqref="A7: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7" t="s">
        <v>1820</v>
      </c>
      <c r="C2" s="337"/>
      <c r="D2" s="337"/>
      <c r="E2" s="337"/>
      <c r="F2" s="337"/>
      <c r="G2" s="337"/>
      <c r="H2" s="337"/>
      <c r="I2" s="337"/>
      <c r="J2" s="337"/>
      <c r="K2" s="337"/>
      <c r="L2" s="337"/>
      <c r="M2" s="337"/>
      <c r="N2" s="337"/>
      <c r="O2" s="337"/>
      <c r="P2" s="337"/>
      <c r="Q2" s="337"/>
      <c r="R2" s="337"/>
      <c r="S2" s="337"/>
      <c r="T2" s="337"/>
      <c r="U2" s="337"/>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8"/>
      <c r="R4" s="338"/>
      <c r="S4" s="338"/>
      <c r="T4" s="338"/>
      <c r="U4" s="338"/>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9">
        <f>+Spielzettel5!M2</f>
        <v>5</v>
      </c>
      <c r="F6" s="340"/>
      <c r="P6" s="128" t="s">
        <v>1821</v>
      </c>
      <c r="Q6" s="341" t="str">
        <f>+Spielzettel5!L1</f>
        <v>13.04.</v>
      </c>
      <c r="R6" s="342">
        <v>0</v>
      </c>
      <c r="S6" s="342">
        <v>0</v>
      </c>
      <c r="T6" s="343">
        <v>0</v>
      </c>
      <c r="U6" s="61"/>
    </row>
    <row r="7" spans="2:21" x14ac:dyDescent="0.25">
      <c r="B7" s="60"/>
      <c r="C7" s="128"/>
      <c r="D7" s="128"/>
      <c r="U7" s="61"/>
    </row>
    <row r="8" spans="2:21" x14ac:dyDescent="0.25">
      <c r="B8" s="60"/>
      <c r="C8" s="128" t="s">
        <v>1822</v>
      </c>
      <c r="D8" s="128"/>
      <c r="E8" s="344" t="str">
        <f>+Spielzettel5!D2</f>
        <v>Nürnberg West Bowling</v>
      </c>
      <c r="F8" s="345"/>
      <c r="G8" s="345"/>
      <c r="H8" s="345">
        <v>0</v>
      </c>
      <c r="I8" s="345"/>
      <c r="J8" s="346"/>
      <c r="N8" s="128" t="s">
        <v>1823</v>
      </c>
      <c r="P8" s="344" t="str">
        <f>+Spielzettel5!D1</f>
        <v>Landesliga Nord Frauen</v>
      </c>
      <c r="Q8" s="345"/>
      <c r="R8" s="345"/>
      <c r="S8" s="345"/>
      <c r="T8" s="346"/>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1" t="s">
        <v>1824</v>
      </c>
      <c r="D11" s="331"/>
      <c r="E11" s="331"/>
      <c r="F11" s="331"/>
      <c r="G11" s="331"/>
      <c r="H11" s="331"/>
      <c r="I11" s="331"/>
      <c r="J11" s="331"/>
      <c r="K11" s="331"/>
      <c r="L11" s="331"/>
      <c r="M11" s="331"/>
      <c r="N11" s="331"/>
      <c r="O11" s="331"/>
      <c r="P11" s="331"/>
      <c r="Q11" s="331"/>
      <c r="R11" s="331"/>
      <c r="S11" s="331"/>
      <c r="T11" s="331"/>
      <c r="U11" s="131"/>
    </row>
    <row r="12" spans="2:21" ht="21.75" customHeight="1" x14ac:dyDescent="0.25">
      <c r="B12" s="132"/>
      <c r="C12" s="332" t="s">
        <v>1825</v>
      </c>
      <c r="D12" s="332"/>
      <c r="E12" s="332"/>
      <c r="F12" s="332"/>
      <c r="G12" s="332"/>
      <c r="H12" s="332"/>
      <c r="I12" s="332"/>
      <c r="J12" s="332"/>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5"/>
      <c r="D19" s="326"/>
      <c r="E19" s="333"/>
      <c r="F19" s="333"/>
      <c r="G19" s="333"/>
      <c r="H19" s="333"/>
      <c r="I19" s="333"/>
      <c r="J19" s="333"/>
      <c r="K19" s="333"/>
      <c r="L19" s="333"/>
      <c r="M19" s="333"/>
      <c r="N19" s="333"/>
      <c r="O19" s="333"/>
      <c r="P19" s="333"/>
      <c r="Q19" s="333"/>
      <c r="R19" s="333"/>
      <c r="S19" s="333"/>
      <c r="T19" s="334"/>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5" t="s">
        <v>2410</v>
      </c>
      <c r="D24" s="326"/>
      <c r="E24" s="326"/>
      <c r="F24" s="326"/>
      <c r="G24" s="326"/>
      <c r="H24" s="326"/>
      <c r="I24" s="326"/>
      <c r="J24" s="326"/>
      <c r="K24" s="326"/>
      <c r="L24" s="326"/>
      <c r="M24" s="326"/>
      <c r="N24" s="326"/>
      <c r="O24" s="326"/>
      <c r="P24" s="326"/>
      <c r="Q24" s="326"/>
      <c r="R24" s="326"/>
      <c r="S24" s="326"/>
      <c r="T24" s="327"/>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5"/>
      <c r="D29" s="326"/>
      <c r="E29" s="326"/>
      <c r="F29" s="326"/>
      <c r="G29" s="326"/>
      <c r="H29" s="326"/>
      <c r="I29" s="326"/>
      <c r="J29" s="326"/>
      <c r="K29" s="326"/>
      <c r="L29" s="326"/>
      <c r="M29" s="326"/>
      <c r="N29" s="326"/>
      <c r="O29" s="326"/>
      <c r="P29" s="326"/>
      <c r="Q29" s="326"/>
      <c r="R29" s="326"/>
      <c r="S29" s="326"/>
      <c r="T29" s="327"/>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5"/>
      <c r="G35" s="335"/>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5"/>
      <c r="D37" s="326"/>
      <c r="E37" s="326"/>
      <c r="F37" s="326"/>
      <c r="G37" s="326"/>
      <c r="H37" s="326"/>
      <c r="I37" s="326"/>
      <c r="J37" s="326"/>
      <c r="K37" s="326"/>
      <c r="L37" s="326"/>
      <c r="M37" s="326"/>
      <c r="N37" s="326"/>
      <c r="O37" s="326"/>
      <c r="P37" s="326"/>
      <c r="Q37" s="326"/>
      <c r="R37" s="326"/>
      <c r="S37" s="326"/>
      <c r="T37" s="327"/>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6"/>
      <c r="G41" s="336"/>
      <c r="H41" s="336"/>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5"/>
      <c r="D45" s="326"/>
      <c r="E45" s="326"/>
      <c r="F45" s="326"/>
      <c r="G45" s="326"/>
      <c r="H45" s="326"/>
      <c r="I45" s="326"/>
      <c r="J45" s="326"/>
      <c r="K45" s="326"/>
      <c r="L45" s="326"/>
      <c r="M45" s="326"/>
      <c r="N45" s="326"/>
      <c r="O45" s="326"/>
      <c r="P45" s="326"/>
      <c r="Q45" s="326"/>
      <c r="R45" s="326"/>
      <c r="S45" s="326"/>
      <c r="T45" s="327"/>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1" t="s">
        <v>1847</v>
      </c>
      <c r="D48" s="331"/>
      <c r="E48" s="331"/>
      <c r="F48" s="331"/>
      <c r="G48" s="331"/>
      <c r="H48" s="331"/>
      <c r="I48" s="331"/>
      <c r="J48" s="331"/>
      <c r="K48" s="331"/>
      <c r="L48" s="331"/>
      <c r="M48" s="331"/>
      <c r="N48" s="331"/>
      <c r="O48" s="331"/>
      <c r="P48" s="331"/>
      <c r="Q48" s="331"/>
      <c r="R48" s="331"/>
      <c r="S48" s="331"/>
      <c r="T48" s="331"/>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5"/>
      <c r="D52" s="326"/>
      <c r="E52" s="326"/>
      <c r="F52" s="326"/>
      <c r="G52" s="326"/>
      <c r="H52" s="326"/>
      <c r="I52" s="326"/>
      <c r="J52" s="326"/>
      <c r="K52" s="326"/>
      <c r="L52" s="326"/>
      <c r="M52" s="326"/>
      <c r="N52" s="326"/>
      <c r="O52" s="326"/>
      <c r="P52" s="326"/>
      <c r="Q52" s="326"/>
      <c r="R52" s="326"/>
      <c r="S52" s="326"/>
      <c r="T52" s="327"/>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5"/>
      <c r="D56" s="326"/>
      <c r="E56" s="326"/>
      <c r="F56" s="326"/>
      <c r="G56" s="326"/>
      <c r="H56" s="326"/>
      <c r="I56" s="326"/>
      <c r="J56" s="326"/>
      <c r="K56" s="326"/>
      <c r="L56" s="326"/>
      <c r="M56" s="326"/>
      <c r="N56" s="326"/>
      <c r="O56" s="326"/>
      <c r="P56" s="326"/>
      <c r="Q56" s="326"/>
      <c r="R56" s="326"/>
      <c r="S56" s="326"/>
      <c r="T56" s="327"/>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5"/>
      <c r="D60" s="326"/>
      <c r="E60" s="326"/>
      <c r="F60" s="326"/>
      <c r="G60" s="326"/>
      <c r="H60" s="326"/>
      <c r="I60" s="326"/>
      <c r="J60" s="326"/>
      <c r="K60" s="326"/>
      <c r="L60" s="326"/>
      <c r="M60" s="326"/>
      <c r="N60" s="326"/>
      <c r="O60" s="326"/>
      <c r="P60" s="326"/>
      <c r="Q60" s="326"/>
      <c r="R60" s="326"/>
      <c r="S60" s="326"/>
      <c r="T60" s="327"/>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5"/>
      <c r="D64" s="326"/>
      <c r="E64" s="326"/>
      <c r="F64" s="326"/>
      <c r="G64" s="326"/>
      <c r="H64" s="326"/>
      <c r="I64" s="326"/>
      <c r="J64" s="326"/>
      <c r="K64" s="326"/>
      <c r="L64" s="326"/>
      <c r="M64" s="326"/>
      <c r="N64" s="326"/>
      <c r="O64" s="326"/>
      <c r="P64" s="326"/>
      <c r="Q64" s="326"/>
      <c r="R64" s="326"/>
      <c r="S64" s="326"/>
      <c r="T64" s="327"/>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5"/>
      <c r="D68" s="326"/>
      <c r="E68" s="326"/>
      <c r="F68" s="326"/>
      <c r="G68" s="326"/>
      <c r="H68" s="326"/>
      <c r="I68" s="326"/>
      <c r="J68" s="326"/>
      <c r="K68" s="326"/>
      <c r="L68" s="326"/>
      <c r="M68" s="326"/>
      <c r="N68" s="326"/>
      <c r="O68" s="326"/>
      <c r="P68" s="326"/>
      <c r="Q68" s="326"/>
      <c r="R68" s="326"/>
      <c r="S68" s="326"/>
      <c r="T68" s="327"/>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5"/>
      <c r="D72" s="326"/>
      <c r="E72" s="326"/>
      <c r="F72" s="326"/>
      <c r="G72" s="326"/>
      <c r="H72" s="326"/>
      <c r="I72" s="326"/>
      <c r="J72" s="326"/>
      <c r="K72" s="326"/>
      <c r="L72" s="326"/>
      <c r="M72" s="326"/>
      <c r="N72" s="326"/>
      <c r="O72" s="326"/>
      <c r="P72" s="326"/>
      <c r="Q72" s="326"/>
      <c r="R72" s="326"/>
      <c r="S72" s="326"/>
      <c r="T72" s="327"/>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8"/>
      <c r="D79" s="329"/>
      <c r="E79" s="329"/>
      <c r="F79" s="329"/>
      <c r="G79" s="329"/>
      <c r="H79" s="329"/>
      <c r="I79" s="329"/>
      <c r="J79" s="329"/>
      <c r="K79" s="329"/>
      <c r="L79" s="329"/>
      <c r="M79" s="329"/>
      <c r="N79" s="329"/>
      <c r="O79" s="329"/>
      <c r="P79" s="329"/>
      <c r="Q79" s="329"/>
      <c r="R79" s="329"/>
      <c r="S79" s="329"/>
      <c r="T79" s="330"/>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4"/>
      <c r="E82" s="324"/>
      <c r="F82" s="324"/>
      <c r="G82" s="324"/>
      <c r="H82" s="324"/>
      <c r="I82" s="324"/>
      <c r="J82" s="324"/>
      <c r="K82" s="324"/>
      <c r="L82" s="324"/>
      <c r="M82" s="324"/>
      <c r="P82" s="324"/>
      <c r="Q82" s="324"/>
      <c r="R82" s="324"/>
      <c r="S82" s="324"/>
      <c r="T82" s="324"/>
      <c r="U82" s="324"/>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4"/>
      <c r="E85" s="324"/>
      <c r="F85" s="324"/>
      <c r="G85" s="324"/>
      <c r="H85" s="324"/>
      <c r="I85" s="324"/>
      <c r="J85" s="324"/>
      <c r="K85" s="324"/>
      <c r="L85" s="324"/>
      <c r="M85" s="324"/>
      <c r="P85" s="324"/>
      <c r="Q85" s="324"/>
      <c r="R85" s="324"/>
      <c r="S85" s="324"/>
      <c r="T85" s="324"/>
      <c r="U85" s="324"/>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E87"/>
  <sheetViews>
    <sheetView view="pageBreakPreview" topLeftCell="A46" zoomScaleNormal="100" zoomScaleSheetLayoutView="100" workbookViewId="0">
      <selection activeCell="C9" sqref="A7: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62" t="str">
        <f>Schlüssel!$CO$1</f>
        <v>13.04.</v>
      </c>
      <c r="M1" s="362"/>
      <c r="N1" s="362"/>
      <c r="O1" s="362"/>
      <c r="P1" s="362"/>
      <c r="AE1" s="90" t="s">
        <v>1809</v>
      </c>
    </row>
    <row r="2" spans="1:31" ht="17.25" customHeight="1" thickBot="1" x14ac:dyDescent="0.35">
      <c r="A2" s="49"/>
      <c r="B2" s="50">
        <v>1</v>
      </c>
      <c r="C2" s="30" t="s">
        <v>1783</v>
      </c>
      <c r="D2" s="84" t="str">
        <f>Schlüssel!$CE$2</f>
        <v>Nürnberg West Bowling</v>
      </c>
      <c r="F2" s="76"/>
      <c r="G2" s="76"/>
      <c r="H2" s="76"/>
      <c r="I2" s="76"/>
      <c r="K2" s="76"/>
      <c r="L2" s="29" t="s">
        <v>1781</v>
      </c>
      <c r="M2" s="34">
        <v>5</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SPIELFREI</v>
      </c>
    </row>
    <row r="4" spans="1:31" ht="13.8" thickBot="1" x14ac:dyDescent="0.3">
      <c r="A4" s="6"/>
      <c r="B4" s="7"/>
      <c r="C4" s="39"/>
      <c r="D4" s="43" t="s">
        <v>10</v>
      </c>
      <c r="E4" s="7">
        <f>VLOOKUP(B2,Schlüssel!$A$5:$DF$10,93)</f>
        <v>0</v>
      </c>
      <c r="F4" s="47" t="s">
        <v>10</v>
      </c>
      <c r="G4" s="7">
        <f>VLOOKUP(B2,Schlüssel!$A$5:$DF$10,94)</f>
        <v>0</v>
      </c>
      <c r="H4" s="47" t="s">
        <v>10</v>
      </c>
      <c r="I4" s="7">
        <f>VLOOKUP(B2,Schlüssel!$A$5:$DF$10,95)</f>
        <v>0</v>
      </c>
      <c r="J4" s="47" t="s">
        <v>10</v>
      </c>
      <c r="K4" s="7">
        <f>VLOOKUP(B2,Schlüssel!$A$5:$DF$10,96)</f>
        <v>0</v>
      </c>
      <c r="L4" s="47" t="s">
        <v>10</v>
      </c>
      <c r="M4" s="66">
        <f>VLOOKUP(B2,Schlüssel!$A$5:$DF$10,97)</f>
        <v>0</v>
      </c>
      <c r="N4" s="43" t="s">
        <v>10</v>
      </c>
      <c r="O4" s="66">
        <f>VLOOKUP(B2,Schlüssel!$A$5:$DF$10,98)</f>
        <v>0</v>
      </c>
    </row>
    <row r="5" spans="1:31" ht="20.25" customHeight="1" x14ac:dyDescent="0.25">
      <c r="B5" s="40" t="s">
        <v>1</v>
      </c>
      <c r="C5" s="41"/>
      <c r="D5" s="363" t="s">
        <v>1789</v>
      </c>
      <c r="E5" s="364"/>
      <c r="F5" s="363" t="s">
        <v>1790</v>
      </c>
      <c r="G5" s="364"/>
      <c r="H5" s="363" t="s">
        <v>1791</v>
      </c>
      <c r="I5" s="364"/>
      <c r="J5" s="363" t="s">
        <v>1792</v>
      </c>
      <c r="K5" s="364"/>
      <c r="L5" s="363" t="s">
        <v>1793</v>
      </c>
      <c r="M5" s="364"/>
      <c r="N5" s="363" t="s">
        <v>2088</v>
      </c>
      <c r="O5" s="364"/>
      <c r="P5" s="365" t="s">
        <v>1788</v>
      </c>
      <c r="Q5" s="36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9" t="s">
        <v>0</v>
      </c>
      <c r="B7" s="17"/>
      <c r="C7" s="18"/>
      <c r="D7" s="14"/>
      <c r="E7" s="356"/>
      <c r="F7" s="14"/>
      <c r="G7" s="356"/>
      <c r="H7" s="14"/>
      <c r="I7" s="356"/>
      <c r="J7" s="14"/>
      <c r="K7" s="356"/>
      <c r="L7" s="14"/>
      <c r="M7" s="356"/>
      <c r="N7" s="14"/>
      <c r="O7" s="356"/>
      <c r="P7" s="14"/>
      <c r="Q7" s="356"/>
    </row>
    <row r="8" spans="1:31" ht="17.100000000000001" customHeight="1" x14ac:dyDescent="0.25">
      <c r="A8" s="360"/>
      <c r="B8" s="19"/>
      <c r="C8" s="20"/>
      <c r="D8" s="15"/>
      <c r="E8" s="357"/>
      <c r="F8" s="15"/>
      <c r="G8" s="357"/>
      <c r="H8" s="15"/>
      <c r="I8" s="357"/>
      <c r="J8" s="15"/>
      <c r="K8" s="357"/>
      <c r="L8" s="15"/>
      <c r="M8" s="357"/>
      <c r="N8" s="15"/>
      <c r="O8" s="357"/>
      <c r="P8" s="15"/>
      <c r="Q8" s="357"/>
    </row>
    <row r="9" spans="1:31" ht="17.100000000000001" customHeight="1" thickBot="1" x14ac:dyDescent="0.3">
      <c r="A9" s="361"/>
      <c r="B9" s="21"/>
      <c r="C9" s="22"/>
      <c r="D9" s="9"/>
      <c r="E9" s="358"/>
      <c r="F9" s="9"/>
      <c r="G9" s="358"/>
      <c r="H9" s="9"/>
      <c r="I9" s="358"/>
      <c r="J9" s="9"/>
      <c r="K9" s="358"/>
      <c r="L9" s="9"/>
      <c r="M9" s="358"/>
      <c r="N9" s="9"/>
      <c r="O9" s="358"/>
      <c r="P9" s="9"/>
      <c r="Q9" s="358"/>
    </row>
    <row r="10" spans="1:31" ht="17.100000000000001" customHeight="1" x14ac:dyDescent="0.25">
      <c r="A10" s="359" t="s">
        <v>2</v>
      </c>
      <c r="B10" s="17"/>
      <c r="C10" s="18"/>
      <c r="D10" s="14"/>
      <c r="E10" s="356"/>
      <c r="F10" s="14"/>
      <c r="G10" s="356"/>
      <c r="H10" s="14"/>
      <c r="I10" s="356"/>
      <c r="J10" s="14"/>
      <c r="K10" s="356"/>
      <c r="L10" s="14"/>
      <c r="M10" s="356"/>
      <c r="N10" s="14"/>
      <c r="O10" s="356"/>
      <c r="P10" s="14"/>
      <c r="Q10" s="356"/>
    </row>
    <row r="11" spans="1:31" ht="17.100000000000001" customHeight="1" x14ac:dyDescent="0.25">
      <c r="A11" s="360"/>
      <c r="B11" s="19"/>
      <c r="C11" s="20"/>
      <c r="D11" s="15"/>
      <c r="E11" s="357"/>
      <c r="F11" s="15"/>
      <c r="G11" s="357"/>
      <c r="H11" s="15"/>
      <c r="I11" s="357"/>
      <c r="J11" s="15"/>
      <c r="K11" s="357"/>
      <c r="L11" s="15"/>
      <c r="M11" s="357"/>
      <c r="N11" s="15"/>
      <c r="O11" s="357"/>
      <c r="P11" s="15"/>
      <c r="Q11" s="357"/>
    </row>
    <row r="12" spans="1:31" ht="17.100000000000001" customHeight="1" thickBot="1" x14ac:dyDescent="0.3">
      <c r="A12" s="361"/>
      <c r="B12" s="21"/>
      <c r="C12" s="22"/>
      <c r="D12" s="9"/>
      <c r="E12" s="358"/>
      <c r="F12" s="9"/>
      <c r="G12" s="358"/>
      <c r="H12" s="9"/>
      <c r="I12" s="358"/>
      <c r="J12" s="9"/>
      <c r="K12" s="358"/>
      <c r="L12" s="9"/>
      <c r="M12" s="358"/>
      <c r="N12" s="9"/>
      <c r="O12" s="358"/>
      <c r="P12" s="9"/>
      <c r="Q12" s="358"/>
    </row>
    <row r="13" spans="1:31" ht="17.100000000000001" customHeight="1" x14ac:dyDescent="0.25">
      <c r="A13" s="359" t="s">
        <v>3</v>
      </c>
      <c r="B13" s="17"/>
      <c r="C13" s="18"/>
      <c r="D13" s="14"/>
      <c r="E13" s="356"/>
      <c r="F13" s="14"/>
      <c r="G13" s="356"/>
      <c r="H13" s="14"/>
      <c r="I13" s="356"/>
      <c r="J13" s="14"/>
      <c r="K13" s="356"/>
      <c r="L13" s="14"/>
      <c r="M13" s="356"/>
      <c r="N13" s="14"/>
      <c r="O13" s="356"/>
      <c r="P13" s="14"/>
      <c r="Q13" s="356"/>
    </row>
    <row r="14" spans="1:31" ht="17.100000000000001" customHeight="1" x14ac:dyDescent="0.25">
      <c r="A14" s="360"/>
      <c r="B14" s="19"/>
      <c r="C14" s="20"/>
      <c r="D14" s="15"/>
      <c r="E14" s="357"/>
      <c r="F14" s="15"/>
      <c r="G14" s="357"/>
      <c r="H14" s="15"/>
      <c r="I14" s="357"/>
      <c r="J14" s="15"/>
      <c r="K14" s="357"/>
      <c r="L14" s="15"/>
      <c r="M14" s="357"/>
      <c r="N14" s="15"/>
      <c r="O14" s="357"/>
      <c r="P14" s="15"/>
      <c r="Q14" s="357"/>
    </row>
    <row r="15" spans="1:31" ht="17.100000000000001" customHeight="1" thickBot="1" x14ac:dyDescent="0.3">
      <c r="A15" s="361"/>
      <c r="B15" s="21"/>
      <c r="C15" s="22"/>
      <c r="D15" s="9"/>
      <c r="E15" s="358"/>
      <c r="F15" s="9"/>
      <c r="G15" s="358"/>
      <c r="H15" s="9"/>
      <c r="I15" s="358"/>
      <c r="J15" s="9"/>
      <c r="K15" s="358"/>
      <c r="L15" s="9"/>
      <c r="M15" s="358"/>
      <c r="N15" s="9"/>
      <c r="O15" s="358"/>
      <c r="P15" s="9"/>
      <c r="Q15" s="358"/>
    </row>
    <row r="16" spans="1:31" ht="17.100000000000001" customHeight="1" x14ac:dyDescent="0.25">
      <c r="A16" s="359" t="s">
        <v>11</v>
      </c>
      <c r="B16" s="17"/>
      <c r="C16" s="18"/>
      <c r="D16" s="14"/>
      <c r="E16" s="356"/>
      <c r="F16" s="14"/>
      <c r="G16" s="356"/>
      <c r="H16" s="14"/>
      <c r="I16" s="356"/>
      <c r="J16" s="14"/>
      <c r="K16" s="356"/>
      <c r="L16" s="14"/>
      <c r="M16" s="356"/>
      <c r="N16" s="14"/>
      <c r="O16" s="356"/>
      <c r="P16" s="14"/>
      <c r="Q16" s="356"/>
    </row>
    <row r="17" spans="1:31" ht="17.100000000000001" customHeight="1" x14ac:dyDescent="0.25">
      <c r="A17" s="360"/>
      <c r="B17" s="19"/>
      <c r="C17" s="20"/>
      <c r="D17" s="15"/>
      <c r="E17" s="357"/>
      <c r="F17" s="15"/>
      <c r="G17" s="357"/>
      <c r="H17" s="15"/>
      <c r="I17" s="357"/>
      <c r="J17" s="15"/>
      <c r="K17" s="357"/>
      <c r="L17" s="15"/>
      <c r="M17" s="357"/>
      <c r="N17" s="15"/>
      <c r="O17" s="357"/>
      <c r="P17" s="15"/>
      <c r="Q17" s="357"/>
    </row>
    <row r="18" spans="1:31" ht="17.100000000000001" customHeight="1" thickBot="1" x14ac:dyDescent="0.3">
      <c r="A18" s="361"/>
      <c r="B18" s="21"/>
      <c r="C18" s="22"/>
      <c r="D18" s="9"/>
      <c r="E18" s="358"/>
      <c r="F18" s="9"/>
      <c r="G18" s="358"/>
      <c r="H18" s="9"/>
      <c r="I18" s="358"/>
      <c r="J18" s="9"/>
      <c r="K18" s="358"/>
      <c r="L18" s="9"/>
      <c r="M18" s="358"/>
      <c r="N18" s="9"/>
      <c r="O18" s="358"/>
      <c r="P18" s="9"/>
      <c r="Q18" s="358"/>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4">
        <f>VLOOKUP(B2,Schlüssel!$A$5:$DF$10,83)</f>
        <v>0</v>
      </c>
      <c r="E22" s="354"/>
      <c r="F22" s="354">
        <f>VLOOKUP(B2,Schlüssel!$A$5:$DF$10,84)</f>
        <v>0</v>
      </c>
      <c r="G22" s="354"/>
      <c r="H22" s="354">
        <f>VLOOKUP(B2,Schlüssel!$A$5:$DF$10,85)</f>
        <v>0</v>
      </c>
      <c r="I22" s="354"/>
      <c r="J22" s="354">
        <f>VLOOKUP(B2,Schlüssel!$A$5:$DF$10,86)</f>
        <v>0</v>
      </c>
      <c r="K22" s="354"/>
      <c r="L22" s="354">
        <f>VLOOKUP(B2,Schlüssel!$A$5:$DF$10,87)</f>
        <v>0</v>
      </c>
      <c r="M22" s="354"/>
      <c r="N22" s="354">
        <f>VLOOKUP(B2,Schlüssel!$A$5:$DF$10,88)</f>
        <v>0</v>
      </c>
      <c r="O22" s="354"/>
      <c r="P22" s="355"/>
      <c r="Q22" s="355"/>
    </row>
    <row r="23" spans="1:31" ht="28.5" customHeight="1" x14ac:dyDescent="0.25">
      <c r="B23" s="4"/>
      <c r="C23" s="1"/>
      <c r="D23" s="351" t="e">
        <f>VLOOKUP(D22,Schlüssel!$A$5:$K$10,2)</f>
        <v>#N/A</v>
      </c>
      <c r="E23" s="352"/>
      <c r="F23" s="351" t="e">
        <f>VLOOKUP(F22,Schlüssel!$A$5:$K$10,2)</f>
        <v>#N/A</v>
      </c>
      <c r="G23" s="352"/>
      <c r="H23" s="351" t="e">
        <f>VLOOKUP(H22,Schlüssel!$A$5:$K$10,2)</f>
        <v>#N/A</v>
      </c>
      <c r="I23" s="352"/>
      <c r="J23" s="351" t="e">
        <f>VLOOKUP(J22,Schlüssel!$A$5:$K$10,2)</f>
        <v>#N/A</v>
      </c>
      <c r="K23" s="352"/>
      <c r="L23" s="351" t="e">
        <f>VLOOKUP(L22,Schlüssel!$A$5:$K$10,2)</f>
        <v>#N/A</v>
      </c>
      <c r="M23" s="352"/>
      <c r="N23" s="351" t="e">
        <f>VLOOKUP(N22,Schlüssel!$A$5:$K$10,2)</f>
        <v>#N/A</v>
      </c>
      <c r="O23" s="352"/>
      <c r="P23" s="353"/>
      <c r="Q23" s="353"/>
    </row>
    <row r="24" spans="1:31" ht="12" customHeight="1" x14ac:dyDescent="0.25">
      <c r="B24" s="4"/>
      <c r="C24" s="1"/>
      <c r="D24" s="350"/>
      <c r="E24" s="350"/>
      <c r="F24" s="350"/>
      <c r="G24" s="350"/>
      <c r="H24" s="350"/>
      <c r="I24" s="350"/>
      <c r="J24" s="350"/>
      <c r="K24" s="350"/>
      <c r="L24" s="350"/>
      <c r="M24" s="350"/>
      <c r="N24" s="350"/>
      <c r="O24" s="350"/>
      <c r="P24" s="307"/>
      <c r="Q24" s="307"/>
    </row>
    <row r="25" spans="1:31" ht="15.9" customHeight="1" x14ac:dyDescent="0.25">
      <c r="B25" s="35" t="s">
        <v>0</v>
      </c>
      <c r="C25" s="36"/>
      <c r="D25" s="348"/>
      <c r="E25" s="348"/>
      <c r="F25" s="348"/>
      <c r="G25" s="348"/>
      <c r="H25" s="348"/>
      <c r="I25" s="348"/>
      <c r="J25" s="348"/>
      <c r="K25" s="348"/>
      <c r="L25" s="348"/>
      <c r="M25" s="348"/>
      <c r="N25" s="348"/>
      <c r="O25" s="348"/>
      <c r="P25" s="349"/>
      <c r="Q25" s="349"/>
    </row>
    <row r="26" spans="1:31" ht="15.9" customHeight="1" x14ac:dyDescent="0.25">
      <c r="B26" s="35" t="s">
        <v>2</v>
      </c>
      <c r="C26" s="36"/>
      <c r="D26" s="348"/>
      <c r="E26" s="348"/>
      <c r="F26" s="348"/>
      <c r="G26" s="348"/>
      <c r="H26" s="348"/>
      <c r="I26" s="348"/>
      <c r="J26" s="348"/>
      <c r="K26" s="348"/>
      <c r="L26" s="348"/>
      <c r="M26" s="348"/>
      <c r="N26" s="348"/>
      <c r="O26" s="348"/>
      <c r="P26" s="349"/>
      <c r="Q26" s="349"/>
    </row>
    <row r="27" spans="1:31" ht="15.9" customHeight="1" x14ac:dyDescent="0.25">
      <c r="B27" s="35" t="s">
        <v>3</v>
      </c>
      <c r="C27" s="36"/>
      <c r="D27" s="348"/>
      <c r="E27" s="348"/>
      <c r="F27" s="348"/>
      <c r="G27" s="348"/>
      <c r="H27" s="348"/>
      <c r="I27" s="348"/>
      <c r="J27" s="348"/>
      <c r="K27" s="348"/>
      <c r="L27" s="348"/>
      <c r="M27" s="348"/>
      <c r="N27" s="348"/>
      <c r="O27" s="348"/>
      <c r="P27" s="349"/>
      <c r="Q27" s="349"/>
    </row>
    <row r="28" spans="1:31" ht="15.9" customHeight="1" x14ac:dyDescent="0.25">
      <c r="B28" s="35" t="s">
        <v>11</v>
      </c>
      <c r="C28" s="36"/>
      <c r="D28" s="348"/>
      <c r="E28" s="348"/>
      <c r="F28" s="348"/>
      <c r="G28" s="348"/>
      <c r="H28" s="348"/>
      <c r="I28" s="348"/>
      <c r="J28" s="348"/>
      <c r="K28" s="348"/>
      <c r="L28" s="348"/>
      <c r="M28" s="348"/>
      <c r="N28" s="348"/>
      <c r="O28" s="348"/>
      <c r="P28" s="349"/>
      <c r="Q28" s="349"/>
    </row>
    <row r="29" spans="1:31" ht="15.9" customHeight="1" x14ac:dyDescent="0.25">
      <c r="B29" s="37" t="s">
        <v>1788</v>
      </c>
      <c r="C29" s="38"/>
      <c r="D29" s="347"/>
      <c r="E29" s="347"/>
      <c r="F29" s="347"/>
      <c r="G29" s="347"/>
      <c r="H29" s="347"/>
      <c r="I29" s="347"/>
      <c r="J29" s="347"/>
      <c r="K29" s="347"/>
      <c r="L29" s="347"/>
      <c r="M29" s="347"/>
      <c r="N29" s="347"/>
      <c r="O29" s="347"/>
      <c r="P29" s="312"/>
      <c r="Q29" s="312"/>
    </row>
    <row r="30" spans="1:31" ht="21" customHeight="1" x14ac:dyDescent="0.4">
      <c r="B30" s="7" t="s">
        <v>1798</v>
      </c>
      <c r="C30" s="30" t="s">
        <v>1782</v>
      </c>
      <c r="D30" s="76" t="str">
        <f>Schlüssel!$C$1</f>
        <v>Landesliga Nord Frauen</v>
      </c>
      <c r="F30" s="25"/>
      <c r="G30" s="25"/>
      <c r="H30" s="25"/>
      <c r="I30" s="25"/>
      <c r="K30" s="29"/>
      <c r="L30" s="362" t="str">
        <f>Schlüssel!$CO$1</f>
        <v>13.04.</v>
      </c>
      <c r="M30" s="362"/>
      <c r="N30" s="362"/>
      <c r="O30" s="362"/>
      <c r="P30" s="362"/>
      <c r="AE30" s="90"/>
    </row>
    <row r="31" spans="1:31" ht="17.25" customHeight="1" thickBot="1" x14ac:dyDescent="0.35">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VLOOKUP(B31,Schlüssel!$A$5:$DF$10,93)</f>
        <v>12</v>
      </c>
      <c r="F33" s="47" t="s">
        <v>10</v>
      </c>
      <c r="G33" s="7">
        <f>VLOOKUP(B31,Schlüssel!$A$5:$DF$10,94)</f>
        <v>11</v>
      </c>
      <c r="H33" s="47" t="s">
        <v>10</v>
      </c>
      <c r="I33" s="7">
        <f>VLOOKUP(B31,Schlüssel!$A$5:$DF$10,95)</f>
        <v>12</v>
      </c>
      <c r="J33" s="47" t="s">
        <v>10</v>
      </c>
      <c r="K33" s="7">
        <f>VLOOKUP(B31,Schlüssel!$A$5:$DF$10,96)</f>
        <v>11</v>
      </c>
      <c r="L33" s="47" t="s">
        <v>10</v>
      </c>
      <c r="M33" s="66">
        <f>VLOOKUP(B31,Schlüssel!$A$5:$DF$10,97)</f>
        <v>12</v>
      </c>
      <c r="N33" s="43" t="s">
        <v>10</v>
      </c>
      <c r="O33" s="66">
        <f>VLOOKUP(B31,Schlüssel!$A$5:$DF$10,98)</f>
        <v>11</v>
      </c>
    </row>
    <row r="34" spans="1:17" ht="20.25" customHeight="1" x14ac:dyDescent="0.25">
      <c r="B34" s="40" t="s">
        <v>1</v>
      </c>
      <c r="C34" s="41"/>
      <c r="D34" s="363" t="s">
        <v>1789</v>
      </c>
      <c r="E34" s="364"/>
      <c r="F34" s="363" t="s">
        <v>1790</v>
      </c>
      <c r="G34" s="364"/>
      <c r="H34" s="363" t="s">
        <v>1791</v>
      </c>
      <c r="I34" s="364"/>
      <c r="J34" s="363" t="s">
        <v>1792</v>
      </c>
      <c r="K34" s="364"/>
      <c r="L34" s="363" t="s">
        <v>1793</v>
      </c>
      <c r="M34" s="364"/>
      <c r="N34" s="363" t="s">
        <v>2088</v>
      </c>
      <c r="O34" s="364"/>
      <c r="P34" s="365" t="s">
        <v>1788</v>
      </c>
      <c r="Q34" s="36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9" t="s">
        <v>0</v>
      </c>
      <c r="B36" s="17"/>
      <c r="C36" s="18"/>
      <c r="D36" s="14"/>
      <c r="E36" s="356"/>
      <c r="F36" s="14"/>
      <c r="G36" s="356"/>
      <c r="H36" s="14"/>
      <c r="I36" s="356"/>
      <c r="J36" s="14"/>
      <c r="K36" s="356"/>
      <c r="L36" s="14"/>
      <c r="M36" s="356"/>
      <c r="N36" s="14"/>
      <c r="O36" s="356"/>
      <c r="P36" s="14"/>
      <c r="Q36" s="356"/>
    </row>
    <row r="37" spans="1:17" ht="17.100000000000001" customHeight="1" x14ac:dyDescent="0.25">
      <c r="A37" s="360"/>
      <c r="B37" s="19"/>
      <c r="C37" s="20"/>
      <c r="D37" s="15"/>
      <c r="E37" s="357"/>
      <c r="F37" s="15"/>
      <c r="G37" s="357"/>
      <c r="H37" s="15"/>
      <c r="I37" s="357"/>
      <c r="J37" s="15"/>
      <c r="K37" s="357"/>
      <c r="L37" s="15"/>
      <c r="M37" s="357"/>
      <c r="N37" s="15"/>
      <c r="O37" s="357"/>
      <c r="P37" s="15"/>
      <c r="Q37" s="357"/>
    </row>
    <row r="38" spans="1:17" ht="17.100000000000001" customHeight="1" thickBot="1" x14ac:dyDescent="0.3">
      <c r="A38" s="361"/>
      <c r="B38" s="21"/>
      <c r="C38" s="22"/>
      <c r="D38" s="9"/>
      <c r="E38" s="358"/>
      <c r="F38" s="9"/>
      <c r="G38" s="358"/>
      <c r="H38" s="9"/>
      <c r="I38" s="358"/>
      <c r="J38" s="9"/>
      <c r="K38" s="358"/>
      <c r="L38" s="9"/>
      <c r="M38" s="358"/>
      <c r="N38" s="9"/>
      <c r="O38" s="358"/>
      <c r="P38" s="9"/>
      <c r="Q38" s="358"/>
    </row>
    <row r="39" spans="1:17" ht="17.100000000000001" customHeight="1" x14ac:dyDescent="0.25">
      <c r="A39" s="359" t="s">
        <v>2</v>
      </c>
      <c r="B39" s="17"/>
      <c r="C39" s="18"/>
      <c r="D39" s="14"/>
      <c r="E39" s="356"/>
      <c r="F39" s="14"/>
      <c r="G39" s="356"/>
      <c r="H39" s="14"/>
      <c r="I39" s="356"/>
      <c r="J39" s="14"/>
      <c r="K39" s="356"/>
      <c r="L39" s="14"/>
      <c r="M39" s="356"/>
      <c r="N39" s="14"/>
      <c r="O39" s="356"/>
      <c r="P39" s="14"/>
      <c r="Q39" s="356"/>
    </row>
    <row r="40" spans="1:17" ht="17.100000000000001" customHeight="1" x14ac:dyDescent="0.25">
      <c r="A40" s="360"/>
      <c r="B40" s="19"/>
      <c r="C40" s="20"/>
      <c r="D40" s="15"/>
      <c r="E40" s="357"/>
      <c r="F40" s="15"/>
      <c r="G40" s="357"/>
      <c r="H40" s="15"/>
      <c r="I40" s="357"/>
      <c r="J40" s="15"/>
      <c r="K40" s="357"/>
      <c r="L40" s="15"/>
      <c r="M40" s="357"/>
      <c r="N40" s="15"/>
      <c r="O40" s="357"/>
      <c r="P40" s="15"/>
      <c r="Q40" s="357"/>
    </row>
    <row r="41" spans="1:17" ht="17.100000000000001" customHeight="1" thickBot="1" x14ac:dyDescent="0.3">
      <c r="A41" s="361"/>
      <c r="B41" s="21"/>
      <c r="C41" s="22"/>
      <c r="D41" s="9"/>
      <c r="E41" s="358"/>
      <c r="F41" s="9"/>
      <c r="G41" s="358"/>
      <c r="H41" s="9"/>
      <c r="I41" s="358"/>
      <c r="J41" s="9"/>
      <c r="K41" s="358"/>
      <c r="L41" s="9"/>
      <c r="M41" s="358"/>
      <c r="N41" s="9"/>
      <c r="O41" s="358"/>
      <c r="P41" s="9"/>
      <c r="Q41" s="358"/>
    </row>
    <row r="42" spans="1:17" ht="17.100000000000001" customHeight="1" x14ac:dyDescent="0.25">
      <c r="A42" s="359" t="s">
        <v>3</v>
      </c>
      <c r="B42" s="17"/>
      <c r="C42" s="18"/>
      <c r="D42" s="14"/>
      <c r="E42" s="356"/>
      <c r="F42" s="14"/>
      <c r="G42" s="356"/>
      <c r="H42" s="14"/>
      <c r="I42" s="356"/>
      <c r="J42" s="14"/>
      <c r="K42" s="356"/>
      <c r="L42" s="14"/>
      <c r="M42" s="356"/>
      <c r="N42" s="14"/>
      <c r="O42" s="356"/>
      <c r="P42" s="14"/>
      <c r="Q42" s="356"/>
    </row>
    <row r="43" spans="1:17" ht="17.100000000000001" customHeight="1" x14ac:dyDescent="0.25">
      <c r="A43" s="360"/>
      <c r="B43" s="19"/>
      <c r="C43" s="20"/>
      <c r="D43" s="15"/>
      <c r="E43" s="357"/>
      <c r="F43" s="15"/>
      <c r="G43" s="357"/>
      <c r="H43" s="15"/>
      <c r="I43" s="357"/>
      <c r="J43" s="15"/>
      <c r="K43" s="357"/>
      <c r="L43" s="15"/>
      <c r="M43" s="357"/>
      <c r="N43" s="15"/>
      <c r="O43" s="357"/>
      <c r="P43" s="15"/>
      <c r="Q43" s="357"/>
    </row>
    <row r="44" spans="1:17" ht="17.100000000000001" customHeight="1" thickBot="1" x14ac:dyDescent="0.3">
      <c r="A44" s="361"/>
      <c r="B44" s="21"/>
      <c r="C44" s="22"/>
      <c r="D44" s="9"/>
      <c r="E44" s="358"/>
      <c r="F44" s="9"/>
      <c r="G44" s="358"/>
      <c r="H44" s="9"/>
      <c r="I44" s="358"/>
      <c r="J44" s="9"/>
      <c r="K44" s="358"/>
      <c r="L44" s="9"/>
      <c r="M44" s="358"/>
      <c r="N44" s="9"/>
      <c r="O44" s="358"/>
      <c r="P44" s="9"/>
      <c r="Q44" s="358"/>
    </row>
    <row r="45" spans="1:17" ht="17.100000000000001" customHeight="1" x14ac:dyDescent="0.25">
      <c r="A45" s="359" t="s">
        <v>11</v>
      </c>
      <c r="B45" s="17"/>
      <c r="C45" s="18"/>
      <c r="D45" s="14"/>
      <c r="E45" s="356"/>
      <c r="F45" s="14"/>
      <c r="G45" s="356"/>
      <c r="H45" s="14"/>
      <c r="I45" s="356"/>
      <c r="J45" s="14"/>
      <c r="K45" s="356"/>
      <c r="L45" s="14"/>
      <c r="M45" s="356"/>
      <c r="N45" s="14"/>
      <c r="O45" s="356"/>
      <c r="P45" s="14"/>
      <c r="Q45" s="356"/>
    </row>
    <row r="46" spans="1:17" ht="17.100000000000001" customHeight="1" x14ac:dyDescent="0.25">
      <c r="A46" s="360"/>
      <c r="B46" s="19"/>
      <c r="C46" s="20"/>
      <c r="D46" s="15"/>
      <c r="E46" s="357"/>
      <c r="F46" s="15"/>
      <c r="G46" s="357"/>
      <c r="H46" s="15"/>
      <c r="I46" s="357"/>
      <c r="J46" s="15"/>
      <c r="K46" s="357"/>
      <c r="L46" s="15"/>
      <c r="M46" s="357"/>
      <c r="N46" s="15"/>
      <c r="O46" s="357"/>
      <c r="P46" s="15"/>
      <c r="Q46" s="357"/>
    </row>
    <row r="47" spans="1:17" ht="17.100000000000001" customHeight="1" thickBot="1" x14ac:dyDescent="0.3">
      <c r="A47" s="361"/>
      <c r="B47" s="21"/>
      <c r="C47" s="22"/>
      <c r="D47" s="9"/>
      <c r="E47" s="358"/>
      <c r="F47" s="9"/>
      <c r="G47" s="358"/>
      <c r="H47" s="9"/>
      <c r="I47" s="358"/>
      <c r="J47" s="9"/>
      <c r="K47" s="358"/>
      <c r="L47" s="9"/>
      <c r="M47" s="358"/>
      <c r="N47" s="9"/>
      <c r="O47" s="358"/>
      <c r="P47" s="9"/>
      <c r="Q47" s="358"/>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4">
        <f>VLOOKUP(B31,Schlüssel!$A$5:$DF$10,83)</f>
        <v>3</v>
      </c>
      <c r="E51" s="354"/>
      <c r="F51" s="354">
        <f>VLOOKUP(B31,Schlüssel!$A$5:$DF$10,84)</f>
        <v>3</v>
      </c>
      <c r="G51" s="354"/>
      <c r="H51" s="354">
        <f>VLOOKUP(B31,Schlüssel!$A$5:$DF$10,85)</f>
        <v>3</v>
      </c>
      <c r="I51" s="354"/>
      <c r="J51" s="354">
        <f>VLOOKUP(B31,Schlüssel!$A$5:$DF$10,86)</f>
        <v>3</v>
      </c>
      <c r="K51" s="354"/>
      <c r="L51" s="354">
        <f>VLOOKUP(B31,Schlüssel!$A$5:$DF$10,87)</f>
        <v>3</v>
      </c>
      <c r="M51" s="354"/>
      <c r="N51" s="354">
        <f>VLOOKUP(B31,Schlüssel!$A$5:$DF$10,88)</f>
        <v>3</v>
      </c>
      <c r="O51" s="354"/>
      <c r="P51" s="355"/>
      <c r="Q51" s="355"/>
    </row>
    <row r="52" spans="1:31" ht="28.5" customHeight="1" x14ac:dyDescent="0.25">
      <c r="B52" s="4"/>
      <c r="C52" s="1"/>
      <c r="D52" s="351" t="str">
        <f>VLOOKUP(D51,Schlüssel!$A$5:$K$10,2)</f>
        <v>Mainauenbowler Bayreuth Land</v>
      </c>
      <c r="E52" s="352"/>
      <c r="F52" s="351" t="str">
        <f>VLOOKUP(F51,Schlüssel!$A$5:$K$10,2)</f>
        <v>Mainauenbowler Bayreuth Land</v>
      </c>
      <c r="G52" s="352"/>
      <c r="H52" s="351" t="str">
        <f>VLOOKUP(H51,Schlüssel!$A$5:$K$10,2)</f>
        <v>Mainauenbowler Bayreuth Land</v>
      </c>
      <c r="I52" s="352"/>
      <c r="J52" s="351" t="str">
        <f>VLOOKUP(J51,Schlüssel!$A$5:$K$10,2)</f>
        <v>Mainauenbowler Bayreuth Land</v>
      </c>
      <c r="K52" s="352"/>
      <c r="L52" s="351" t="str">
        <f>VLOOKUP(L51,Schlüssel!$A$5:$K$10,2)</f>
        <v>Mainauenbowler Bayreuth Land</v>
      </c>
      <c r="M52" s="352"/>
      <c r="N52" s="351" t="str">
        <f>VLOOKUP(N51,Schlüssel!$A$5:$K$10,2)</f>
        <v>Mainauenbowler Bayreuth Land</v>
      </c>
      <c r="O52" s="352"/>
      <c r="P52" s="353"/>
      <c r="Q52" s="353"/>
    </row>
    <row r="53" spans="1:31" ht="12" customHeight="1" x14ac:dyDescent="0.25">
      <c r="B53" s="4"/>
      <c r="C53" s="1"/>
      <c r="D53" s="350"/>
      <c r="E53" s="350"/>
      <c r="F53" s="350"/>
      <c r="G53" s="350"/>
      <c r="H53" s="350"/>
      <c r="I53" s="350"/>
      <c r="J53" s="350"/>
      <c r="K53" s="350"/>
      <c r="L53" s="350"/>
      <c r="M53" s="350"/>
      <c r="N53" s="350"/>
      <c r="O53" s="350"/>
      <c r="P53" s="307"/>
      <c r="Q53" s="307"/>
    </row>
    <row r="54" spans="1:31" ht="15.9" customHeight="1" x14ac:dyDescent="0.25">
      <c r="B54" s="35" t="s">
        <v>0</v>
      </c>
      <c r="C54" s="36"/>
      <c r="D54" s="348"/>
      <c r="E54" s="348"/>
      <c r="F54" s="348"/>
      <c r="G54" s="348"/>
      <c r="H54" s="348"/>
      <c r="I54" s="348"/>
      <c r="J54" s="348"/>
      <c r="K54" s="348"/>
      <c r="L54" s="348"/>
      <c r="M54" s="348"/>
      <c r="N54" s="348"/>
      <c r="O54" s="348"/>
      <c r="P54" s="349"/>
      <c r="Q54" s="349"/>
    </row>
    <row r="55" spans="1:31" ht="15.9" customHeight="1" x14ac:dyDescent="0.25">
      <c r="B55" s="35" t="s">
        <v>2</v>
      </c>
      <c r="C55" s="36"/>
      <c r="D55" s="348"/>
      <c r="E55" s="348"/>
      <c r="F55" s="348"/>
      <c r="G55" s="348"/>
      <c r="H55" s="348"/>
      <c r="I55" s="348"/>
      <c r="J55" s="348"/>
      <c r="K55" s="348"/>
      <c r="L55" s="348"/>
      <c r="M55" s="348"/>
      <c r="N55" s="348"/>
      <c r="O55" s="348"/>
      <c r="P55" s="349"/>
      <c r="Q55" s="349"/>
    </row>
    <row r="56" spans="1:31" ht="15.9" customHeight="1" x14ac:dyDescent="0.25">
      <c r="B56" s="35" t="s">
        <v>3</v>
      </c>
      <c r="C56" s="36"/>
      <c r="D56" s="348"/>
      <c r="E56" s="348"/>
      <c r="F56" s="348"/>
      <c r="G56" s="348"/>
      <c r="H56" s="348"/>
      <c r="I56" s="348"/>
      <c r="J56" s="348"/>
      <c r="K56" s="348"/>
      <c r="L56" s="348"/>
      <c r="M56" s="348"/>
      <c r="N56" s="348"/>
      <c r="O56" s="348"/>
      <c r="P56" s="349"/>
      <c r="Q56" s="349"/>
    </row>
    <row r="57" spans="1:31" ht="15.9" customHeight="1" x14ac:dyDescent="0.25">
      <c r="B57" s="35" t="s">
        <v>11</v>
      </c>
      <c r="C57" s="36"/>
      <c r="D57" s="348"/>
      <c r="E57" s="348"/>
      <c r="F57" s="348"/>
      <c r="G57" s="348"/>
      <c r="H57" s="348"/>
      <c r="I57" s="348"/>
      <c r="J57" s="348"/>
      <c r="K57" s="348"/>
      <c r="L57" s="348"/>
      <c r="M57" s="348"/>
      <c r="N57" s="348"/>
      <c r="O57" s="348"/>
      <c r="P57" s="349"/>
      <c r="Q57" s="349"/>
    </row>
    <row r="58" spans="1:31" ht="15.9" customHeight="1" x14ac:dyDescent="0.25">
      <c r="B58" s="37" t="s">
        <v>1788</v>
      </c>
      <c r="C58" s="38"/>
      <c r="D58" s="347"/>
      <c r="E58" s="347"/>
      <c r="F58" s="347"/>
      <c r="G58" s="347"/>
      <c r="H58" s="347"/>
      <c r="I58" s="347"/>
      <c r="J58" s="347"/>
      <c r="K58" s="347"/>
      <c r="L58" s="347"/>
      <c r="M58" s="347"/>
      <c r="N58" s="347"/>
      <c r="O58" s="347"/>
      <c r="P58" s="312"/>
      <c r="Q58" s="312"/>
    </row>
    <row r="59" spans="1:31" ht="21" customHeight="1" x14ac:dyDescent="0.4">
      <c r="B59" s="7" t="s">
        <v>1798</v>
      </c>
      <c r="C59" s="30" t="s">
        <v>1782</v>
      </c>
      <c r="D59" s="76" t="str">
        <f>Schlüssel!$C$1</f>
        <v>Landesliga Nord Frauen</v>
      </c>
      <c r="F59" s="25"/>
      <c r="G59" s="25"/>
      <c r="H59" s="25"/>
      <c r="I59" s="25"/>
      <c r="K59" s="29"/>
      <c r="L59" s="362" t="str">
        <f>Schlüssel!$CO$1</f>
        <v>13.04.</v>
      </c>
      <c r="M59" s="362"/>
      <c r="N59" s="362"/>
      <c r="O59" s="362"/>
      <c r="P59" s="362"/>
      <c r="AE59" s="90"/>
    </row>
    <row r="60" spans="1:31" ht="17.25" customHeight="1" thickBot="1" x14ac:dyDescent="0.35">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VLOOKUP(B60,Schlüssel!$A$5:$DF$10,93)</f>
        <v>11</v>
      </c>
      <c r="F62" s="47" t="s">
        <v>10</v>
      </c>
      <c r="G62" s="7">
        <f>VLOOKUP(B60,Schlüssel!$A$5:$DF$10,94)</f>
        <v>12</v>
      </c>
      <c r="H62" s="47" t="s">
        <v>10</v>
      </c>
      <c r="I62" s="7">
        <f>VLOOKUP(B60,Schlüssel!$A$5:$DF$10,95)</f>
        <v>11</v>
      </c>
      <c r="J62" s="47" t="s">
        <v>10</v>
      </c>
      <c r="K62" s="7">
        <f>VLOOKUP(B60,Schlüssel!$A$5:$DF$10,96)</f>
        <v>12</v>
      </c>
      <c r="L62" s="47" t="s">
        <v>10</v>
      </c>
      <c r="M62" s="66">
        <f>VLOOKUP(B60,Schlüssel!$A$5:$DF$10,97)</f>
        <v>11</v>
      </c>
      <c r="N62" s="43" t="s">
        <v>10</v>
      </c>
      <c r="O62" s="66">
        <f>VLOOKUP(B60,Schlüssel!$A$5:$DF$10,98)</f>
        <v>12</v>
      </c>
    </row>
    <row r="63" spans="1:31" ht="20.25" customHeight="1" x14ac:dyDescent="0.25">
      <c r="B63" s="40" t="s">
        <v>1</v>
      </c>
      <c r="C63" s="41"/>
      <c r="D63" s="363" t="s">
        <v>1789</v>
      </c>
      <c r="E63" s="364"/>
      <c r="F63" s="363" t="s">
        <v>1790</v>
      </c>
      <c r="G63" s="364"/>
      <c r="H63" s="363" t="s">
        <v>1791</v>
      </c>
      <c r="I63" s="364"/>
      <c r="J63" s="363" t="s">
        <v>1792</v>
      </c>
      <c r="K63" s="364"/>
      <c r="L63" s="363" t="s">
        <v>1793</v>
      </c>
      <c r="M63" s="364"/>
      <c r="N63" s="363" t="s">
        <v>2088</v>
      </c>
      <c r="O63" s="364"/>
      <c r="P63" s="365" t="s">
        <v>1788</v>
      </c>
      <c r="Q63" s="36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9" t="s">
        <v>0</v>
      </c>
      <c r="B65" s="17"/>
      <c r="C65" s="18"/>
      <c r="D65" s="14"/>
      <c r="E65" s="356"/>
      <c r="F65" s="14"/>
      <c r="G65" s="356"/>
      <c r="H65" s="14"/>
      <c r="I65" s="356"/>
      <c r="J65" s="14"/>
      <c r="K65" s="356"/>
      <c r="L65" s="14"/>
      <c r="M65" s="356"/>
      <c r="N65" s="14"/>
      <c r="O65" s="356"/>
      <c r="P65" s="14"/>
      <c r="Q65" s="356"/>
    </row>
    <row r="66" spans="1:17" ht="17.100000000000001" customHeight="1" x14ac:dyDescent="0.25">
      <c r="A66" s="360"/>
      <c r="B66" s="19"/>
      <c r="C66" s="20"/>
      <c r="D66" s="15"/>
      <c r="E66" s="357"/>
      <c r="F66" s="15"/>
      <c r="G66" s="357"/>
      <c r="H66" s="15"/>
      <c r="I66" s="357"/>
      <c r="J66" s="15"/>
      <c r="K66" s="357"/>
      <c r="L66" s="15"/>
      <c r="M66" s="357"/>
      <c r="N66" s="15"/>
      <c r="O66" s="357"/>
      <c r="P66" s="15"/>
      <c r="Q66" s="357"/>
    </row>
    <row r="67" spans="1:17" ht="17.100000000000001" customHeight="1" thickBot="1" x14ac:dyDescent="0.3">
      <c r="A67" s="361"/>
      <c r="B67" s="21"/>
      <c r="C67" s="22"/>
      <c r="D67" s="9"/>
      <c r="E67" s="358"/>
      <c r="F67" s="9"/>
      <c r="G67" s="358"/>
      <c r="H67" s="9"/>
      <c r="I67" s="358"/>
      <c r="J67" s="9"/>
      <c r="K67" s="358"/>
      <c r="L67" s="9"/>
      <c r="M67" s="358"/>
      <c r="N67" s="9"/>
      <c r="O67" s="358"/>
      <c r="P67" s="9"/>
      <c r="Q67" s="358"/>
    </row>
    <row r="68" spans="1:17" ht="17.100000000000001" customHeight="1" x14ac:dyDescent="0.25">
      <c r="A68" s="359" t="s">
        <v>2</v>
      </c>
      <c r="B68" s="17"/>
      <c r="C68" s="18"/>
      <c r="D68" s="14"/>
      <c r="E68" s="356"/>
      <c r="F68" s="14"/>
      <c r="G68" s="356"/>
      <c r="H68" s="14"/>
      <c r="I68" s="356"/>
      <c r="J68" s="14"/>
      <c r="K68" s="356"/>
      <c r="L68" s="14"/>
      <c r="M68" s="356"/>
      <c r="N68" s="14"/>
      <c r="O68" s="356"/>
      <c r="P68" s="14"/>
      <c r="Q68" s="356"/>
    </row>
    <row r="69" spans="1:17" ht="17.100000000000001" customHeight="1" x14ac:dyDescent="0.25">
      <c r="A69" s="360"/>
      <c r="B69" s="19"/>
      <c r="C69" s="20"/>
      <c r="D69" s="15"/>
      <c r="E69" s="357"/>
      <c r="F69" s="15"/>
      <c r="G69" s="357"/>
      <c r="H69" s="15"/>
      <c r="I69" s="357"/>
      <c r="J69" s="15"/>
      <c r="K69" s="357"/>
      <c r="L69" s="15"/>
      <c r="M69" s="357"/>
      <c r="N69" s="15"/>
      <c r="O69" s="357"/>
      <c r="P69" s="15"/>
      <c r="Q69" s="357"/>
    </row>
    <row r="70" spans="1:17" ht="17.100000000000001" customHeight="1" thickBot="1" x14ac:dyDescent="0.3">
      <c r="A70" s="361"/>
      <c r="B70" s="21"/>
      <c r="C70" s="22"/>
      <c r="D70" s="9"/>
      <c r="E70" s="358"/>
      <c r="F70" s="9"/>
      <c r="G70" s="358"/>
      <c r="H70" s="9"/>
      <c r="I70" s="358"/>
      <c r="J70" s="9"/>
      <c r="K70" s="358"/>
      <c r="L70" s="9"/>
      <c r="M70" s="358"/>
      <c r="N70" s="9"/>
      <c r="O70" s="358"/>
      <c r="P70" s="9"/>
      <c r="Q70" s="358"/>
    </row>
    <row r="71" spans="1:17" ht="17.100000000000001" customHeight="1" x14ac:dyDescent="0.25">
      <c r="A71" s="359" t="s">
        <v>3</v>
      </c>
      <c r="B71" s="17"/>
      <c r="C71" s="18"/>
      <c r="D71" s="14"/>
      <c r="E71" s="356"/>
      <c r="F71" s="14"/>
      <c r="G71" s="356"/>
      <c r="H71" s="14"/>
      <c r="I71" s="356"/>
      <c r="J71" s="14"/>
      <c r="K71" s="356"/>
      <c r="L71" s="14"/>
      <c r="M71" s="356"/>
      <c r="N71" s="14"/>
      <c r="O71" s="356"/>
      <c r="P71" s="14"/>
      <c r="Q71" s="356"/>
    </row>
    <row r="72" spans="1:17" ht="17.100000000000001" customHeight="1" x14ac:dyDescent="0.25">
      <c r="A72" s="360"/>
      <c r="B72" s="19"/>
      <c r="C72" s="20"/>
      <c r="D72" s="15"/>
      <c r="E72" s="357"/>
      <c r="F72" s="15"/>
      <c r="G72" s="357"/>
      <c r="H72" s="15"/>
      <c r="I72" s="357"/>
      <c r="J72" s="15"/>
      <c r="K72" s="357"/>
      <c r="L72" s="15"/>
      <c r="M72" s="357"/>
      <c r="N72" s="15"/>
      <c r="O72" s="357"/>
      <c r="P72" s="15"/>
      <c r="Q72" s="357"/>
    </row>
    <row r="73" spans="1:17" ht="17.100000000000001" customHeight="1" thickBot="1" x14ac:dyDescent="0.3">
      <c r="A73" s="361"/>
      <c r="B73" s="21"/>
      <c r="C73" s="22"/>
      <c r="D73" s="9"/>
      <c r="E73" s="358"/>
      <c r="F73" s="9"/>
      <c r="G73" s="358"/>
      <c r="H73" s="9"/>
      <c r="I73" s="358"/>
      <c r="J73" s="9"/>
      <c r="K73" s="358"/>
      <c r="L73" s="9"/>
      <c r="M73" s="358"/>
      <c r="N73" s="9"/>
      <c r="O73" s="358"/>
      <c r="P73" s="9"/>
      <c r="Q73" s="358"/>
    </row>
    <row r="74" spans="1:17" ht="17.100000000000001" customHeight="1" x14ac:dyDescent="0.25">
      <c r="A74" s="359" t="s">
        <v>11</v>
      </c>
      <c r="B74" s="17"/>
      <c r="C74" s="18"/>
      <c r="D74" s="14"/>
      <c r="E74" s="356"/>
      <c r="F74" s="14"/>
      <c r="G74" s="356"/>
      <c r="H74" s="14"/>
      <c r="I74" s="356"/>
      <c r="J74" s="14"/>
      <c r="K74" s="356"/>
      <c r="L74" s="14"/>
      <c r="M74" s="356"/>
      <c r="N74" s="14"/>
      <c r="O74" s="356"/>
      <c r="P74" s="14"/>
      <c r="Q74" s="356"/>
    </row>
    <row r="75" spans="1:17" ht="17.100000000000001" customHeight="1" x14ac:dyDescent="0.25">
      <c r="A75" s="360"/>
      <c r="B75" s="19"/>
      <c r="C75" s="20"/>
      <c r="D75" s="15"/>
      <c r="E75" s="357"/>
      <c r="F75" s="15"/>
      <c r="G75" s="357"/>
      <c r="H75" s="15"/>
      <c r="I75" s="357"/>
      <c r="J75" s="15"/>
      <c r="K75" s="357"/>
      <c r="L75" s="15"/>
      <c r="M75" s="357"/>
      <c r="N75" s="15"/>
      <c r="O75" s="357"/>
      <c r="P75" s="15"/>
      <c r="Q75" s="357"/>
    </row>
    <row r="76" spans="1:17" ht="17.100000000000001" customHeight="1" thickBot="1" x14ac:dyDescent="0.3">
      <c r="A76" s="361"/>
      <c r="B76" s="21"/>
      <c r="C76" s="22"/>
      <c r="D76" s="9"/>
      <c r="E76" s="358"/>
      <c r="F76" s="9"/>
      <c r="G76" s="358"/>
      <c r="H76" s="9"/>
      <c r="I76" s="358"/>
      <c r="J76" s="9"/>
      <c r="K76" s="358"/>
      <c r="L76" s="9"/>
      <c r="M76" s="358"/>
      <c r="N76" s="9"/>
      <c r="O76" s="358"/>
      <c r="P76" s="9"/>
      <c r="Q76" s="358"/>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4">
        <f>VLOOKUP(B60,Schlüssel!$A$5:$DF$10,83)</f>
        <v>2</v>
      </c>
      <c r="E80" s="354"/>
      <c r="F80" s="354">
        <f>VLOOKUP(B60,Schlüssel!$A$5:$DF$10,84)</f>
        <v>2</v>
      </c>
      <c r="G80" s="354"/>
      <c r="H80" s="354">
        <f>VLOOKUP(B60,Schlüssel!$A$5:$DF$10,85)</f>
        <v>2</v>
      </c>
      <c r="I80" s="354"/>
      <c r="J80" s="354">
        <f>VLOOKUP(B60,Schlüssel!$A$5:$DF$10,86)</f>
        <v>2</v>
      </c>
      <c r="K80" s="354"/>
      <c r="L80" s="354">
        <f>VLOOKUP(B60,Schlüssel!$A$5:$DF$10,87)</f>
        <v>2</v>
      </c>
      <c r="M80" s="354"/>
      <c r="N80" s="354">
        <f>VLOOKUP(B60,Schlüssel!$A$5:$DF$10,88)</f>
        <v>2</v>
      </c>
      <c r="O80" s="354"/>
      <c r="P80" s="355"/>
      <c r="Q80" s="355"/>
    </row>
    <row r="81" spans="2:17" ht="28.5" customHeight="1" x14ac:dyDescent="0.25">
      <c r="B81" s="4"/>
      <c r="C81" s="1"/>
      <c r="D81" s="351" t="str">
        <f>VLOOKUP(D80,Schlüssel!$A$5:$K$10,2)</f>
        <v>BC Phönix Lauf</v>
      </c>
      <c r="E81" s="352"/>
      <c r="F81" s="351" t="str">
        <f>VLOOKUP(F80,Schlüssel!$A$5:$K$10,2)</f>
        <v>BC Phönix Lauf</v>
      </c>
      <c r="G81" s="352"/>
      <c r="H81" s="351" t="str">
        <f>VLOOKUP(H80,Schlüssel!$A$5:$K$10,2)</f>
        <v>BC Phönix Lauf</v>
      </c>
      <c r="I81" s="352"/>
      <c r="J81" s="351" t="str">
        <f>VLOOKUP(J80,Schlüssel!$A$5:$K$10,2)</f>
        <v>BC Phönix Lauf</v>
      </c>
      <c r="K81" s="352"/>
      <c r="L81" s="351" t="str">
        <f>VLOOKUP(L80,Schlüssel!$A$5:$K$10,2)</f>
        <v>BC Phönix Lauf</v>
      </c>
      <c r="M81" s="352"/>
      <c r="N81" s="351" t="str">
        <f>VLOOKUP(N80,Schlüssel!$A$5:$K$10,2)</f>
        <v>BC Phönix Lauf</v>
      </c>
      <c r="O81" s="352"/>
      <c r="P81" s="353"/>
      <c r="Q81" s="353"/>
    </row>
    <row r="82" spans="2:17" ht="12" customHeight="1" x14ac:dyDescent="0.25">
      <c r="B82" s="4"/>
      <c r="C82" s="1"/>
      <c r="D82" s="350"/>
      <c r="E82" s="350"/>
      <c r="F82" s="350"/>
      <c r="G82" s="350"/>
      <c r="H82" s="350"/>
      <c r="I82" s="350"/>
      <c r="J82" s="350"/>
      <c r="K82" s="350"/>
      <c r="L82" s="350"/>
      <c r="M82" s="350"/>
      <c r="N82" s="350"/>
      <c r="O82" s="350"/>
      <c r="P82" s="307"/>
      <c r="Q82" s="307"/>
    </row>
    <row r="83" spans="2:17" ht="15.9" customHeight="1" x14ac:dyDescent="0.25">
      <c r="B83" s="35" t="s">
        <v>0</v>
      </c>
      <c r="C83" s="36"/>
      <c r="D83" s="348"/>
      <c r="E83" s="348"/>
      <c r="F83" s="348"/>
      <c r="G83" s="348"/>
      <c r="H83" s="348"/>
      <c r="I83" s="348"/>
      <c r="J83" s="348"/>
      <c r="K83" s="348"/>
      <c r="L83" s="348"/>
      <c r="M83" s="348"/>
      <c r="N83" s="348"/>
      <c r="O83" s="348"/>
      <c r="P83" s="349"/>
      <c r="Q83" s="349"/>
    </row>
    <row r="84" spans="2:17" ht="15.9" customHeight="1" x14ac:dyDescent="0.25">
      <c r="B84" s="35" t="s">
        <v>2</v>
      </c>
      <c r="C84" s="36"/>
      <c r="D84" s="348"/>
      <c r="E84" s="348"/>
      <c r="F84" s="348"/>
      <c r="G84" s="348"/>
      <c r="H84" s="348"/>
      <c r="I84" s="348"/>
      <c r="J84" s="348"/>
      <c r="K84" s="348"/>
      <c r="L84" s="348"/>
      <c r="M84" s="348"/>
      <c r="N84" s="348"/>
      <c r="O84" s="348"/>
      <c r="P84" s="349"/>
      <c r="Q84" s="349"/>
    </row>
    <row r="85" spans="2:17" ht="15.9" customHeight="1" x14ac:dyDescent="0.25">
      <c r="B85" s="35" t="s">
        <v>3</v>
      </c>
      <c r="C85" s="36"/>
      <c r="D85" s="348"/>
      <c r="E85" s="348"/>
      <c r="F85" s="348"/>
      <c r="G85" s="348"/>
      <c r="H85" s="348"/>
      <c r="I85" s="348"/>
      <c r="J85" s="348"/>
      <c r="K85" s="348"/>
      <c r="L85" s="348"/>
      <c r="M85" s="348"/>
      <c r="N85" s="348"/>
      <c r="O85" s="348"/>
      <c r="P85" s="349"/>
      <c r="Q85" s="349"/>
    </row>
    <row r="86" spans="2:17" ht="15.9" customHeight="1" x14ac:dyDescent="0.25">
      <c r="B86" s="35" t="s">
        <v>11</v>
      </c>
      <c r="C86" s="36"/>
      <c r="D86" s="348"/>
      <c r="E86" s="348"/>
      <c r="F86" s="348"/>
      <c r="G86" s="348"/>
      <c r="H86" s="348"/>
      <c r="I86" s="348"/>
      <c r="J86" s="348"/>
      <c r="K86" s="348"/>
      <c r="L86" s="348"/>
      <c r="M86" s="348"/>
      <c r="N86" s="348"/>
      <c r="O86" s="348"/>
      <c r="P86" s="349"/>
      <c r="Q86" s="349"/>
    </row>
    <row r="87" spans="2:17" ht="15.9" customHeight="1" x14ac:dyDescent="0.25">
      <c r="B87" s="37" t="s">
        <v>1788</v>
      </c>
      <c r="C87" s="38"/>
      <c r="D87" s="347"/>
      <c r="E87" s="347"/>
      <c r="F87" s="347"/>
      <c r="G87" s="347"/>
      <c r="H87" s="347"/>
      <c r="I87" s="347"/>
      <c r="J87" s="347"/>
      <c r="K87" s="347"/>
      <c r="L87" s="347"/>
      <c r="M87" s="347"/>
      <c r="N87" s="347"/>
      <c r="O87" s="347"/>
      <c r="P87" s="312"/>
      <c r="Q87" s="312"/>
    </row>
  </sheetData>
  <sheetProtection password="D19C" sheet="1"/>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BZ90"/>
  <sheetViews>
    <sheetView view="pageBreakPreview" topLeftCell="R64" zoomScaleNormal="100" zoomScaleSheetLayoutView="100" workbookViewId="0">
      <selection activeCell="C9" sqref="A7: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80"/>
      <c r="N1" s="380" t="str">
        <f>AD1</f>
        <v>13.04.</v>
      </c>
      <c r="O1" s="380"/>
      <c r="P1" s="381"/>
      <c r="Q1" s="381"/>
      <c r="R1" s="381"/>
      <c r="S1" s="7" t="s">
        <v>1798</v>
      </c>
      <c r="T1" s="25"/>
      <c r="U1" s="30" t="s">
        <v>1782</v>
      </c>
      <c r="V1" s="76" t="str">
        <f>Schlüssel!$C$1</f>
        <v>Landesliga Nord Frauen</v>
      </c>
      <c r="X1" s="25"/>
      <c r="Y1" s="25"/>
      <c r="Z1" s="25"/>
      <c r="AA1" s="25"/>
      <c r="AC1" s="29"/>
      <c r="AD1" s="362" t="str">
        <f>Schlüssel!$CO$1</f>
        <v>13.04.</v>
      </c>
      <c r="AE1" s="362"/>
      <c r="AF1" s="362"/>
      <c r="AG1" s="362"/>
      <c r="AH1" s="362"/>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0</v>
      </c>
      <c r="W4" s="192" t="s">
        <v>10</v>
      </c>
      <c r="X4" s="190">
        <f>VLOOKUP(S2,Schlüssel!$A$5:$DF$10,94)</f>
        <v>0</v>
      </c>
      <c r="Y4" s="192" t="s">
        <v>10</v>
      </c>
      <c r="Z4" s="190">
        <f>VLOOKUP(S2,Schlüssel!$A$5:$DF$10,95)</f>
        <v>0</v>
      </c>
      <c r="AA4" s="192" t="s">
        <v>10</v>
      </c>
      <c r="AB4" s="190">
        <f>VLOOKUP(S2,Schlüssel!$A$5:$DF$10,96)</f>
        <v>0</v>
      </c>
      <c r="AC4" s="192" t="s">
        <v>10</v>
      </c>
      <c r="AD4" s="191">
        <f>VLOOKUP(S2,Schlüssel!$A$5:$DF$10,97)</f>
        <v>0</v>
      </c>
      <c r="AE4" s="192" t="s">
        <v>10</v>
      </c>
      <c r="AF4" s="191">
        <f>VLOOKUP(S2,Schlüssel!$A$5:$DF$10,98)</f>
        <v>0</v>
      </c>
      <c r="BA4" s="220"/>
      <c r="BB4" s="221"/>
      <c r="BC4" s="222"/>
      <c r="BN4" s="224"/>
      <c r="BO4" s="222"/>
      <c r="BS4" s="222"/>
      <c r="BT4" s="224"/>
      <c r="BW4" s="222"/>
    </row>
    <row r="5" spans="1:75" ht="20.25" customHeight="1" x14ac:dyDescent="0.25">
      <c r="B5" s="40" t="s">
        <v>1</v>
      </c>
      <c r="C5" s="41"/>
      <c r="D5" s="363" t="s">
        <v>1789</v>
      </c>
      <c r="E5" s="364"/>
      <c r="F5" s="363" t="s">
        <v>1790</v>
      </c>
      <c r="G5" s="364"/>
      <c r="H5" s="363" t="s">
        <v>1791</v>
      </c>
      <c r="I5" s="364"/>
      <c r="J5" s="363" t="s">
        <v>1792</v>
      </c>
      <c r="K5" s="364"/>
      <c r="L5" s="363" t="s">
        <v>1793</v>
      </c>
      <c r="M5" s="364"/>
      <c r="N5" s="365" t="s">
        <v>1788</v>
      </c>
      <c r="O5" s="366"/>
      <c r="S5" s="40" t="s">
        <v>1</v>
      </c>
      <c r="T5" s="41"/>
      <c r="U5" s="363" t="s">
        <v>1789</v>
      </c>
      <c r="V5" s="364"/>
      <c r="W5" s="363" t="s">
        <v>1790</v>
      </c>
      <c r="X5" s="364"/>
      <c r="Y5" s="363" t="s">
        <v>1791</v>
      </c>
      <c r="Z5" s="364"/>
      <c r="AA5" s="363" t="s">
        <v>1792</v>
      </c>
      <c r="AB5" s="364"/>
      <c r="AC5" s="363" t="s">
        <v>1793</v>
      </c>
      <c r="AD5" s="368"/>
      <c r="AE5" s="363" t="s">
        <v>2088</v>
      </c>
      <c r="AF5" s="368"/>
      <c r="AG5" s="367" t="s">
        <v>1788</v>
      </c>
      <c r="AH5" s="36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7" t="s">
        <v>0</v>
      </c>
      <c r="B7" s="17" t="str">
        <f>IF(S7=0,"",S7)</f>
        <v/>
      </c>
      <c r="C7" s="18" t="str">
        <f>IF(T7=0,"",T7)</f>
        <v/>
      </c>
      <c r="D7" s="14" t="str">
        <f>IF(U7=0,"",U7)</f>
        <v/>
      </c>
      <c r="E7" s="356" t="e">
        <f>IF(V7="","",V7)</f>
        <v>#N/A</v>
      </c>
      <c r="F7" s="14" t="str">
        <f t="shared" ref="F7:F20" si="0">IF(W7=0,"",W7)</f>
        <v/>
      </c>
      <c r="G7" s="356" t="e">
        <f>IF(X7="","",X7)</f>
        <v>#N/A</v>
      </c>
      <c r="H7" s="14" t="str">
        <f t="shared" ref="H7:H20" si="1">IF(Y7=0,"",Y7)</f>
        <v/>
      </c>
      <c r="I7" s="356" t="e">
        <f>IF(Z7="","",Z7)</f>
        <v>#N/A</v>
      </c>
      <c r="J7" s="14" t="str">
        <f t="shared" ref="J7:J20" si="2">IF(AA7=0,"",AA7)</f>
        <v/>
      </c>
      <c r="K7" s="356" t="e">
        <f>IF(AB7="","",AB7)</f>
        <v>#N/A</v>
      </c>
      <c r="L7" s="14" t="str">
        <f t="shared" ref="L7:L20" si="3">IF(AC7=0,"",AC7)</f>
        <v/>
      </c>
      <c r="M7" s="356" t="e">
        <f>IF(AD7="","",AD7)</f>
        <v>#N/A</v>
      </c>
      <c r="N7" s="14" t="str">
        <f t="shared" ref="N7:N20" si="4">IF(AG7=0,"",AG7)</f>
        <v/>
      </c>
      <c r="O7" s="356" t="e">
        <f>IF(AH7="","",AH7)</f>
        <v>#N/A</v>
      </c>
      <c r="R7" s="359"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8"/>
      <c r="B8" s="19" t="str">
        <f t="shared" ref="B8:D20" si="21">IF(S8=0,"",S8)</f>
        <v/>
      </c>
      <c r="C8" s="20" t="str">
        <f t="shared" si="21"/>
        <v/>
      </c>
      <c r="D8" s="15" t="str">
        <f t="shared" si="21"/>
        <v/>
      </c>
      <c r="E8" s="357"/>
      <c r="F8" s="15" t="str">
        <f t="shared" si="0"/>
        <v/>
      </c>
      <c r="G8" s="357"/>
      <c r="H8" s="15" t="str">
        <f t="shared" si="1"/>
        <v/>
      </c>
      <c r="I8" s="357"/>
      <c r="J8" s="15" t="str">
        <f t="shared" si="2"/>
        <v/>
      </c>
      <c r="K8" s="357"/>
      <c r="L8" s="15" t="str">
        <f t="shared" si="3"/>
        <v/>
      </c>
      <c r="M8" s="357"/>
      <c r="N8" s="15" t="str">
        <f t="shared" si="4"/>
        <v/>
      </c>
      <c r="O8" s="357"/>
      <c r="R8" s="360"/>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9"/>
      <c r="B9" s="21" t="str">
        <f t="shared" si="21"/>
        <v/>
      </c>
      <c r="C9" s="22" t="str">
        <f t="shared" si="21"/>
        <v/>
      </c>
      <c r="D9" s="9" t="str">
        <f t="shared" si="21"/>
        <v/>
      </c>
      <c r="E9" s="358"/>
      <c r="F9" s="9" t="str">
        <f t="shared" si="0"/>
        <v/>
      </c>
      <c r="G9" s="358"/>
      <c r="H9" s="9" t="str">
        <f t="shared" si="1"/>
        <v/>
      </c>
      <c r="I9" s="358"/>
      <c r="J9" s="9" t="str">
        <f t="shared" si="2"/>
        <v/>
      </c>
      <c r="K9" s="358"/>
      <c r="L9" s="9" t="str">
        <f t="shared" si="3"/>
        <v/>
      </c>
      <c r="M9" s="358"/>
      <c r="N9" s="9" t="str">
        <f t="shared" si="4"/>
        <v/>
      </c>
      <c r="O9" s="358"/>
      <c r="R9" s="361"/>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7" t="s">
        <v>2</v>
      </c>
      <c r="B10" s="17" t="str">
        <f t="shared" si="21"/>
        <v/>
      </c>
      <c r="C10" s="18" t="str">
        <f t="shared" si="21"/>
        <v/>
      </c>
      <c r="D10" s="14" t="str">
        <f t="shared" si="21"/>
        <v/>
      </c>
      <c r="E10" s="356" t="e">
        <f>IF(V10="","",V10)</f>
        <v>#N/A</v>
      </c>
      <c r="F10" s="14" t="str">
        <f t="shared" si="0"/>
        <v/>
      </c>
      <c r="G10" s="356" t="e">
        <f>IF(X10="","",X10)</f>
        <v>#N/A</v>
      </c>
      <c r="H10" s="14" t="str">
        <f t="shared" si="1"/>
        <v/>
      </c>
      <c r="I10" s="356" t="e">
        <f>IF(Z10="","",Z10)</f>
        <v>#N/A</v>
      </c>
      <c r="J10" s="14" t="str">
        <f t="shared" si="2"/>
        <v/>
      </c>
      <c r="K10" s="356" t="e">
        <f>IF(AB10="","",AB10)</f>
        <v>#N/A</v>
      </c>
      <c r="L10" s="14" t="str">
        <f t="shared" si="3"/>
        <v/>
      </c>
      <c r="M10" s="356" t="e">
        <f>IF(AD10="","",AD10)</f>
        <v>#N/A</v>
      </c>
      <c r="N10" s="14" t="str">
        <f t="shared" si="4"/>
        <v/>
      </c>
      <c r="O10" s="356" t="e">
        <f>IF(AH10="","",AH10)</f>
        <v>#N/A</v>
      </c>
      <c r="R10" s="359"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8"/>
      <c r="B11" s="19" t="str">
        <f t="shared" si="21"/>
        <v/>
      </c>
      <c r="C11" s="20" t="str">
        <f t="shared" si="21"/>
        <v/>
      </c>
      <c r="D11" s="15" t="str">
        <f t="shared" si="21"/>
        <v/>
      </c>
      <c r="E11" s="357"/>
      <c r="F11" s="15" t="str">
        <f t="shared" si="0"/>
        <v/>
      </c>
      <c r="G11" s="357"/>
      <c r="H11" s="15" t="str">
        <f t="shared" si="1"/>
        <v/>
      </c>
      <c r="I11" s="357"/>
      <c r="J11" s="15" t="str">
        <f t="shared" si="2"/>
        <v/>
      </c>
      <c r="K11" s="357"/>
      <c r="L11" s="15" t="str">
        <f t="shared" si="3"/>
        <v/>
      </c>
      <c r="M11" s="357"/>
      <c r="N11" s="15" t="str">
        <f t="shared" si="4"/>
        <v/>
      </c>
      <c r="O11" s="357"/>
      <c r="R11" s="360"/>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9"/>
      <c r="B12" s="21" t="str">
        <f t="shared" si="21"/>
        <v/>
      </c>
      <c r="C12" s="22" t="str">
        <f t="shared" si="21"/>
        <v/>
      </c>
      <c r="D12" s="9" t="str">
        <f t="shared" si="21"/>
        <v/>
      </c>
      <c r="E12" s="358"/>
      <c r="F12" s="9" t="str">
        <f t="shared" si="0"/>
        <v/>
      </c>
      <c r="G12" s="358"/>
      <c r="H12" s="9" t="str">
        <f t="shared" si="1"/>
        <v/>
      </c>
      <c r="I12" s="358"/>
      <c r="J12" s="9" t="str">
        <f t="shared" si="2"/>
        <v/>
      </c>
      <c r="K12" s="358"/>
      <c r="L12" s="9" t="str">
        <f t="shared" si="3"/>
        <v/>
      </c>
      <c r="M12" s="358"/>
      <c r="N12" s="9" t="str">
        <f t="shared" si="4"/>
        <v/>
      </c>
      <c r="O12" s="358"/>
      <c r="R12" s="361"/>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7" t="s">
        <v>3</v>
      </c>
      <c r="B13" s="17" t="str">
        <f t="shared" si="21"/>
        <v/>
      </c>
      <c r="C13" s="18" t="str">
        <f t="shared" si="21"/>
        <v/>
      </c>
      <c r="D13" s="14" t="str">
        <f t="shared" si="21"/>
        <v/>
      </c>
      <c r="E13" s="356" t="e">
        <f>IF(V13="","",V13)</f>
        <v>#N/A</v>
      </c>
      <c r="F13" s="14" t="str">
        <f t="shared" si="0"/>
        <v/>
      </c>
      <c r="G13" s="356" t="e">
        <f>IF(X13="","",X13)</f>
        <v>#N/A</v>
      </c>
      <c r="H13" s="14" t="str">
        <f t="shared" si="1"/>
        <v/>
      </c>
      <c r="I13" s="356" t="e">
        <f>IF(Z13="","",Z13)</f>
        <v>#N/A</v>
      </c>
      <c r="J13" s="14" t="str">
        <f t="shared" si="2"/>
        <v/>
      </c>
      <c r="K13" s="356" t="e">
        <f>IF(AB13="","",AB13)</f>
        <v>#N/A</v>
      </c>
      <c r="L13" s="14" t="str">
        <f t="shared" si="3"/>
        <v/>
      </c>
      <c r="M13" s="356" t="e">
        <f>IF(AD13="","",AD13)</f>
        <v>#N/A</v>
      </c>
      <c r="N13" s="14" t="str">
        <f t="shared" si="4"/>
        <v/>
      </c>
      <c r="O13" s="356" t="e">
        <f>IF(AH13="","",AH13)</f>
        <v>#N/A</v>
      </c>
      <c r="R13" s="359"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8"/>
      <c r="B14" s="19" t="str">
        <f t="shared" si="21"/>
        <v/>
      </c>
      <c r="C14" s="20" t="str">
        <f t="shared" si="21"/>
        <v/>
      </c>
      <c r="D14" s="15" t="str">
        <f t="shared" si="21"/>
        <v/>
      </c>
      <c r="E14" s="357"/>
      <c r="F14" s="15" t="str">
        <f t="shared" si="0"/>
        <v/>
      </c>
      <c r="G14" s="357"/>
      <c r="H14" s="15" t="str">
        <f t="shared" si="1"/>
        <v/>
      </c>
      <c r="I14" s="357"/>
      <c r="J14" s="15" t="str">
        <f t="shared" si="2"/>
        <v/>
      </c>
      <c r="K14" s="357"/>
      <c r="L14" s="15" t="str">
        <f t="shared" si="3"/>
        <v/>
      </c>
      <c r="M14" s="357"/>
      <c r="N14" s="15" t="str">
        <f t="shared" si="4"/>
        <v/>
      </c>
      <c r="O14" s="357"/>
      <c r="R14" s="360"/>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9"/>
      <c r="B15" s="21" t="str">
        <f t="shared" si="21"/>
        <v/>
      </c>
      <c r="C15" s="22" t="str">
        <f t="shared" si="21"/>
        <v/>
      </c>
      <c r="D15" s="9" t="str">
        <f t="shared" si="21"/>
        <v/>
      </c>
      <c r="E15" s="358"/>
      <c r="F15" s="9" t="str">
        <f t="shared" si="0"/>
        <v/>
      </c>
      <c r="G15" s="358"/>
      <c r="H15" s="9" t="str">
        <f t="shared" si="1"/>
        <v/>
      </c>
      <c r="I15" s="358"/>
      <c r="J15" s="9" t="str">
        <f t="shared" si="2"/>
        <v/>
      </c>
      <c r="K15" s="358"/>
      <c r="L15" s="9" t="str">
        <f t="shared" si="3"/>
        <v/>
      </c>
      <c r="M15" s="358"/>
      <c r="N15" s="9" t="str">
        <f t="shared" si="4"/>
        <v/>
      </c>
      <c r="O15" s="358"/>
      <c r="R15" s="361"/>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7" t="s">
        <v>11</v>
      </c>
      <c r="B16" s="17" t="str">
        <f>IF(S16=0,"",S16)</f>
        <v/>
      </c>
      <c r="C16" s="18" t="str">
        <f t="shared" si="21"/>
        <v/>
      </c>
      <c r="D16" s="14" t="str">
        <f t="shared" si="21"/>
        <v/>
      </c>
      <c r="E16" s="356" t="e">
        <f>IF(V16="","",V16)</f>
        <v>#N/A</v>
      </c>
      <c r="F16" s="14" t="str">
        <f t="shared" si="0"/>
        <v/>
      </c>
      <c r="G16" s="356" t="e">
        <f>IF(X16="","",X16)</f>
        <v>#N/A</v>
      </c>
      <c r="H16" s="14" t="str">
        <f t="shared" si="1"/>
        <v/>
      </c>
      <c r="I16" s="356" t="e">
        <f>IF(Z16="","",Z16)</f>
        <v>#N/A</v>
      </c>
      <c r="J16" s="14" t="str">
        <f t="shared" si="2"/>
        <v/>
      </c>
      <c r="K16" s="356" t="e">
        <f>IF(AB16="","",AB16)</f>
        <v>#N/A</v>
      </c>
      <c r="L16" s="14" t="str">
        <f t="shared" si="3"/>
        <v/>
      </c>
      <c r="M16" s="356" t="e">
        <f>IF(AD16="","",AD16)</f>
        <v>#N/A</v>
      </c>
      <c r="N16" s="14" t="str">
        <f t="shared" si="4"/>
        <v/>
      </c>
      <c r="O16" s="356" t="e">
        <f>IF(AH16="","",AH16)</f>
        <v>#N/A</v>
      </c>
      <c r="R16" s="359"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8"/>
      <c r="B17" s="19" t="str">
        <f>IF(S17=0,"",S17)</f>
        <v/>
      </c>
      <c r="C17" s="20" t="str">
        <f t="shared" si="21"/>
        <v/>
      </c>
      <c r="D17" s="15" t="str">
        <f t="shared" si="21"/>
        <v/>
      </c>
      <c r="E17" s="357"/>
      <c r="F17" s="15" t="str">
        <f t="shared" si="0"/>
        <v/>
      </c>
      <c r="G17" s="357"/>
      <c r="H17" s="15" t="str">
        <f t="shared" si="1"/>
        <v/>
      </c>
      <c r="I17" s="357"/>
      <c r="J17" s="15" t="str">
        <f t="shared" si="2"/>
        <v/>
      </c>
      <c r="K17" s="357"/>
      <c r="L17" s="15" t="str">
        <f t="shared" si="3"/>
        <v/>
      </c>
      <c r="M17" s="357"/>
      <c r="N17" s="15" t="str">
        <f t="shared" si="4"/>
        <v/>
      </c>
      <c r="O17" s="357"/>
      <c r="R17" s="360"/>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9"/>
      <c r="B18" s="21" t="str">
        <f>IF(S18=0,"",S18)</f>
        <v/>
      </c>
      <c r="C18" s="22" t="str">
        <f t="shared" si="21"/>
        <v/>
      </c>
      <c r="D18" s="9" t="str">
        <f t="shared" si="21"/>
        <v/>
      </c>
      <c r="E18" s="358"/>
      <c r="F18" s="9" t="str">
        <f t="shared" si="0"/>
        <v/>
      </c>
      <c r="G18" s="358"/>
      <c r="H18" s="9" t="str">
        <f t="shared" si="1"/>
        <v/>
      </c>
      <c r="I18" s="358"/>
      <c r="J18" s="9" t="str">
        <f t="shared" si="2"/>
        <v/>
      </c>
      <c r="K18" s="358"/>
      <c r="L18" s="9" t="str">
        <f t="shared" si="3"/>
        <v/>
      </c>
      <c r="M18" s="358"/>
      <c r="N18" s="9" t="str">
        <f t="shared" si="4"/>
        <v/>
      </c>
      <c r="O18" s="358"/>
      <c r="R18" s="361"/>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54" t="str">
        <f t="shared" si="24"/>
        <v/>
      </c>
      <c r="E22" s="354" t="str">
        <f t="shared" si="24"/>
        <v/>
      </c>
      <c r="F22" s="354" t="str">
        <f t="shared" si="24"/>
        <v/>
      </c>
      <c r="G22" s="354" t="str">
        <f t="shared" si="24"/>
        <v/>
      </c>
      <c r="H22" s="354" t="str">
        <f t="shared" si="24"/>
        <v/>
      </c>
      <c r="I22" s="354" t="str">
        <f t="shared" si="24"/>
        <v/>
      </c>
      <c r="J22" s="354" t="str">
        <f t="shared" si="24"/>
        <v/>
      </c>
      <c r="K22" s="354" t="str">
        <f t="shared" si="24"/>
        <v/>
      </c>
      <c r="L22" s="354" t="str">
        <f t="shared" ref="L22:M24" si="25">IF(AC22=0,"",AC22)</f>
        <v/>
      </c>
      <c r="M22" s="354" t="str">
        <f t="shared" si="25"/>
        <v/>
      </c>
      <c r="N22" s="355"/>
      <c r="O22" s="355"/>
      <c r="S22" s="13" t="s">
        <v>1786</v>
      </c>
      <c r="T22" s="5" t="s">
        <v>1787</v>
      </c>
      <c r="U22" s="373">
        <f>VLOOKUP($S2,Schlüssel!$A$5:$CX$10,83)</f>
        <v>0</v>
      </c>
      <c r="V22" s="374"/>
      <c r="W22" s="373">
        <f>VLOOKUP($S2,Schlüssel!$A$5:$DQ$10,84)</f>
        <v>0</v>
      </c>
      <c r="X22" s="374"/>
      <c r="Y22" s="373">
        <f>VLOOKUP($S2,Schlüssel!$A$5:$DQ$10,85)</f>
        <v>0</v>
      </c>
      <c r="Z22" s="374"/>
      <c r="AA22" s="373">
        <f>VLOOKUP($S2,Schlüssel!$A$5:$DQ$10,86)</f>
        <v>0</v>
      </c>
      <c r="AB22" s="374"/>
      <c r="AC22" s="373">
        <f>VLOOKUP($S2,Schlüssel!$A$5:$DQ$10,87)</f>
        <v>0</v>
      </c>
      <c r="AD22" s="374"/>
      <c r="AE22" s="373">
        <f>VLOOKUP($S2,Schlüssel!$A$5:$DQ$10,88)</f>
        <v>0</v>
      </c>
      <c r="AF22" s="374"/>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1" t="e">
        <f t="shared" si="24"/>
        <v>#N/A</v>
      </c>
      <c r="E23" s="352" t="str">
        <f t="shared" si="24"/>
        <v/>
      </c>
      <c r="F23" s="351" t="e">
        <f t="shared" si="24"/>
        <v>#N/A</v>
      </c>
      <c r="G23" s="352" t="str">
        <f t="shared" si="24"/>
        <v/>
      </c>
      <c r="H23" s="351" t="e">
        <f t="shared" si="24"/>
        <v>#N/A</v>
      </c>
      <c r="I23" s="352" t="str">
        <f t="shared" si="24"/>
        <v/>
      </c>
      <c r="J23" s="351" t="e">
        <f t="shared" si="24"/>
        <v>#N/A</v>
      </c>
      <c r="K23" s="352" t="str">
        <f t="shared" si="24"/>
        <v/>
      </c>
      <c r="L23" s="351" t="e">
        <f t="shared" si="25"/>
        <v>#N/A</v>
      </c>
      <c r="M23" s="352" t="str">
        <f t="shared" si="25"/>
        <v/>
      </c>
      <c r="N23" s="353"/>
      <c r="O23" s="353"/>
      <c r="S23" s="4"/>
      <c r="T23" s="1"/>
      <c r="U23" s="351" t="e">
        <f>VLOOKUP(U22,Schlüssel!$A$5:$K$10,2)</f>
        <v>#N/A</v>
      </c>
      <c r="V23" s="352"/>
      <c r="W23" s="351" t="e">
        <f>VLOOKUP(W22,Schlüssel!$A$5:$K$10,2)</f>
        <v>#N/A</v>
      </c>
      <c r="X23" s="352"/>
      <c r="Y23" s="351" t="e">
        <f>VLOOKUP(Y22,Schlüssel!$A$5:$K$10,2)</f>
        <v>#N/A</v>
      </c>
      <c r="Z23" s="352"/>
      <c r="AA23" s="351" t="e">
        <f>VLOOKUP(AA22,Schlüssel!$A$5:$K$10,2)</f>
        <v>#N/A</v>
      </c>
      <c r="AB23" s="352"/>
      <c r="AC23" s="351" t="e">
        <f>VLOOKUP(AC22,Schlüssel!$A$5:$K$10,2)</f>
        <v>#N/A</v>
      </c>
      <c r="AD23" s="352"/>
      <c r="AE23" s="351" t="e">
        <f>VLOOKUP(AE22,Schlüssel!$A$5:$K$10,2)</f>
        <v>#N/A</v>
      </c>
      <c r="AF23" s="35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50" t="str">
        <f t="shared" si="24"/>
        <v/>
      </c>
      <c r="E24" s="350" t="str">
        <f t="shared" si="24"/>
        <v/>
      </c>
      <c r="F24" s="350" t="str">
        <f t="shared" si="24"/>
        <v/>
      </c>
      <c r="G24" s="350" t="str">
        <f t="shared" si="24"/>
        <v/>
      </c>
      <c r="H24" s="350" t="str">
        <f t="shared" si="24"/>
        <v/>
      </c>
      <c r="I24" s="350" t="str">
        <f t="shared" si="24"/>
        <v/>
      </c>
      <c r="J24" s="350" t="str">
        <f t="shared" si="24"/>
        <v/>
      </c>
      <c r="K24" s="350" t="str">
        <f t="shared" si="24"/>
        <v/>
      </c>
      <c r="L24" s="350" t="str">
        <f t="shared" si="25"/>
        <v/>
      </c>
      <c r="M24" s="350" t="str">
        <f t="shared" si="25"/>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5" t="str">
        <f t="shared" ref="B25:C29" si="26">IF(S25=0,"",S25)</f>
        <v>Spieler 1</v>
      </c>
      <c r="C25" s="376" t="str">
        <f t="shared" si="26"/>
        <v/>
      </c>
      <c r="D25" s="348" t="e">
        <f>IF(U25=301,"",U25)</f>
        <v>#N/A</v>
      </c>
      <c r="E25" s="348" t="str">
        <f>IF(V25=0,"",V25)</f>
        <v/>
      </c>
      <c r="F25" s="348" t="e">
        <f>IF(W25=301,"",W25)</f>
        <v>#N/A</v>
      </c>
      <c r="G25" s="348" t="str">
        <f>IF(X25=0,"",X25)</f>
        <v/>
      </c>
      <c r="H25" s="348" t="e">
        <f>IF(Y25=301,"",Y25)</f>
        <v>#N/A</v>
      </c>
      <c r="I25" s="348" t="str">
        <f>IF(Z25=0,"",Z25)</f>
        <v/>
      </c>
      <c r="J25" s="348" t="e">
        <f>IF(AA25=301,"",AA25)</f>
        <v>#N/A</v>
      </c>
      <c r="K25" s="348" t="str">
        <f>IF(AB25=0,"",AB25)</f>
        <v/>
      </c>
      <c r="L25" s="348" t="e">
        <f>IF(AC25=301,"",AC25)</f>
        <v>#N/A</v>
      </c>
      <c r="M25" s="348" t="str">
        <f>IF(AD25=0,"",AD25)</f>
        <v/>
      </c>
      <c r="N25" s="349"/>
      <c r="O25" s="349"/>
      <c r="S25" s="35" t="s">
        <v>0</v>
      </c>
      <c r="T25" s="36"/>
      <c r="U25" s="371" t="e">
        <f>ABS(INDEX(U:U,MATCH(U22,$S:$S,0)+5)+INDEX(U:U,MATCH(U22,$S:$S,0)+6)+INDEX(U:U,MATCH(U22,$S:$S,0)+7))</f>
        <v>#N/A</v>
      </c>
      <c r="V25" s="372"/>
      <c r="W25" s="371" t="e">
        <f>ABS(INDEX(W:W,MATCH(W22,$S:$S,0)+5)+INDEX(W:W,MATCH(W22,$S:$S,0)+6)+INDEX(W:W,MATCH(W22,$S:$S,0)+7))</f>
        <v>#N/A</v>
      </c>
      <c r="X25" s="372"/>
      <c r="Y25" s="371" t="e">
        <f>ABS(INDEX(Y:Y,MATCH(Y22,$S:$S,0)+5)+INDEX(Y:Y,MATCH(Y22,$S:$S,0)+6)+INDEX(Y:Y,MATCH(Y22,$S:$S,0)+7))</f>
        <v>#N/A</v>
      </c>
      <c r="Z25" s="372"/>
      <c r="AA25" s="371" t="e">
        <f>ABS(INDEX(AA:AA,MATCH(AA22,$S:$S,0)+5)+INDEX(AA:AA,MATCH(AA22,$S:$S,0)+6)+INDEX(AA:AA,MATCH(AA22,$S:$S,0)+7))</f>
        <v>#N/A</v>
      </c>
      <c r="AB25" s="372"/>
      <c r="AC25" s="371" t="e">
        <f>ABS(INDEX(AC:AC,MATCH(AC22,$S:$S,0)+5)+INDEX(AC:AC,MATCH(AC22,$S:$S,0)+6)+INDEX(AC:AC,MATCH(AC22,$S:$S,0)+7))</f>
        <v>#N/A</v>
      </c>
      <c r="AD25" s="372"/>
      <c r="AE25" s="371" t="e">
        <f>ABS(INDEX(AE:AE,MATCH(AE22,$S:$S,0)+5)+INDEX(AE:AE,MATCH(AE22,$S:$S,0)+6)+INDEX(AE:AE,MATCH(AE22,$S:$S,0)+7))</f>
        <v>#N/A</v>
      </c>
      <c r="AF25" s="372"/>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5" t="str">
        <f t="shared" si="26"/>
        <v>Spieler 2</v>
      </c>
      <c r="C26" s="376" t="str">
        <f t="shared" si="26"/>
        <v/>
      </c>
      <c r="D26" s="348" t="e">
        <f>IF(U26=301,"",U26)</f>
        <v>#N/A</v>
      </c>
      <c r="E26" s="348" t="str">
        <f>IF(V26=0,"",V26)</f>
        <v/>
      </c>
      <c r="F26" s="348" t="e">
        <f>IF(W26=301,"",W26)</f>
        <v>#N/A</v>
      </c>
      <c r="G26" s="348" t="str">
        <f>IF(X26=0,"",X26)</f>
        <v/>
      </c>
      <c r="H26" s="348" t="e">
        <f>IF(Y26=301,"",Y26)</f>
        <v>#N/A</v>
      </c>
      <c r="I26" s="348" t="str">
        <f>IF(Z26=0,"",Z26)</f>
        <v/>
      </c>
      <c r="J26" s="348" t="e">
        <f>IF(AA26=301,"",AA26)</f>
        <v>#N/A</v>
      </c>
      <c r="K26" s="348" t="str">
        <f>IF(AB26=0,"",AB26)</f>
        <v/>
      </c>
      <c r="L26" s="348" t="e">
        <f>IF(AC26=301,"",AC26)</f>
        <v>#N/A</v>
      </c>
      <c r="M26" s="348" t="str">
        <f>IF(AD26=0,"",AD26)</f>
        <v/>
      </c>
      <c r="N26" s="349"/>
      <c r="O26" s="349"/>
      <c r="S26" s="35" t="s">
        <v>2</v>
      </c>
      <c r="T26" s="36"/>
      <c r="U26" s="369" t="e">
        <f>ABS(INDEX(U:U,MATCH(U22,$S:$S,0)+8)+INDEX(U:U,MATCH(U22,$S:$S,0)+9)+INDEX(U:U,MATCH(U22,$S:$S,0)+10))</f>
        <v>#N/A</v>
      </c>
      <c r="V26" s="370"/>
      <c r="W26" s="369" t="e">
        <f>ABS(INDEX(W:W,MATCH(W22,$S:$S,0)+8)+INDEX(W:W,MATCH(W22,$S:$S,0)+9)+INDEX(W:W,MATCH(W22,$S:$S,0)+10))</f>
        <v>#N/A</v>
      </c>
      <c r="X26" s="370"/>
      <c r="Y26" s="369" t="e">
        <f>ABS(INDEX(Y:Y,MATCH(Y22,$S:$S,0)+8)+INDEX(Y:Y,MATCH(Y22,$S:$S,0)+9)+INDEX(Y:Y,MATCH(Y22,$S:$S,0)+10))</f>
        <v>#N/A</v>
      </c>
      <c r="Z26" s="370"/>
      <c r="AA26" s="369" t="e">
        <f>ABS(INDEX(AA:AA,MATCH(AA22,$S:$S,0)+8)+INDEX(AA:AA,MATCH(AA22,$S:$S,0)+9)+INDEX(AA:AA,MATCH(AA22,$S:$S,0)+10))</f>
        <v>#N/A</v>
      </c>
      <c r="AB26" s="370"/>
      <c r="AC26" s="369" t="e">
        <f>ABS(INDEX(AC:AC,MATCH(AC22,$S:$S,0)+8)+INDEX(AC:AC,MATCH(AC22,$S:$S,0)+9)+INDEX(AC:AC,MATCH(AC22,$S:$S,0)+10))</f>
        <v>#N/A</v>
      </c>
      <c r="AD26" s="370"/>
      <c r="AE26" s="369" t="e">
        <f>ABS(INDEX(AE:AE,MATCH(AE22,$S:$S,0)+8)+INDEX(AE:AE,MATCH(AE22,$S:$S,0)+9)+INDEX(AE:AE,MATCH(AE22,$S:$S,0)+10))</f>
        <v>#N/A</v>
      </c>
      <c r="AF26" s="370"/>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5" t="str">
        <f t="shared" si="26"/>
        <v>Spieler 3</v>
      </c>
      <c r="C27" s="376" t="str">
        <f t="shared" si="26"/>
        <v/>
      </c>
      <c r="D27" s="348" t="e">
        <f>IF(U27=301,"",U27)</f>
        <v>#N/A</v>
      </c>
      <c r="E27" s="348" t="str">
        <f>IF(V27=0,"",V27)</f>
        <v/>
      </c>
      <c r="F27" s="348" t="e">
        <f>IF(W27=301,"",W27)</f>
        <v>#N/A</v>
      </c>
      <c r="G27" s="348" t="str">
        <f>IF(X27=0,"",X27)</f>
        <v/>
      </c>
      <c r="H27" s="348" t="e">
        <f>IF(Y27=301,"",Y27)</f>
        <v>#N/A</v>
      </c>
      <c r="I27" s="348" t="str">
        <f>IF(Z27=0,"",Z27)</f>
        <v/>
      </c>
      <c r="J27" s="348" t="e">
        <f>IF(AA27=301,"",AA27)</f>
        <v>#N/A</v>
      </c>
      <c r="K27" s="348" t="str">
        <f>IF(AB27=0,"",AB27)</f>
        <v/>
      </c>
      <c r="L27" s="348" t="e">
        <f>IF(AC27=301,"",AC27)</f>
        <v>#N/A</v>
      </c>
      <c r="M27" s="348" t="str">
        <f>IF(AD27=0,"",AD27)</f>
        <v/>
      </c>
      <c r="N27" s="349"/>
      <c r="O27" s="349"/>
      <c r="S27" s="35" t="s">
        <v>3</v>
      </c>
      <c r="T27" s="36"/>
      <c r="U27" s="369" t="e">
        <f>ABS(INDEX(U:U,MATCH(U22,$S:$S,0)+11)+INDEX(U:U,MATCH(U22,$S:$S,0)+12)+INDEX(U:U,MATCH(U22,$S:$S,0)+13))</f>
        <v>#N/A</v>
      </c>
      <c r="V27" s="370"/>
      <c r="W27" s="369" t="e">
        <f>ABS(INDEX(W:W,MATCH(W22,$S:$S,0)+11)+INDEX(W:W,MATCH(W22,$S:$S,0)+12)+INDEX(W:W,MATCH(W22,$S:$S,0)+13))</f>
        <v>#N/A</v>
      </c>
      <c r="X27" s="370"/>
      <c r="Y27" s="369" t="e">
        <f>ABS(INDEX(Y:Y,MATCH(Y22,$S:$S,0)+11)+INDEX(Y:Y,MATCH(Y22,$S:$S,0)+12)+INDEX(Y:Y,MATCH(Y22,$S:$S,0)+13))</f>
        <v>#N/A</v>
      </c>
      <c r="Z27" s="370"/>
      <c r="AA27" s="369" t="e">
        <f>ABS(INDEX(AA:AA,MATCH(AA22,$S:$S,0)+11)+INDEX(AA:AA,MATCH(AA22,$S:$S,0)+12)+INDEX(AA:AA,MATCH(AA22,$S:$S,0)+13))</f>
        <v>#N/A</v>
      </c>
      <c r="AB27" s="370"/>
      <c r="AC27" s="369" t="e">
        <f>ABS(INDEX(AC:AC,MATCH(AC22,$S:$S,0)+11)+INDEX(AC:AC,MATCH(AC22,$S:$S,0)+12)+INDEX(AC:AC,MATCH(AC22,$S:$S,0)+13))</f>
        <v>#N/A</v>
      </c>
      <c r="AD27" s="370"/>
      <c r="AE27" s="369" t="e">
        <f>ABS(INDEX(AE:AE,MATCH(AE22,$S:$S,0)+11)+INDEX(AE:AE,MATCH(AE22,$S:$S,0)+12)+INDEX(AE:AE,MATCH(AE22,$S:$S,0)+13))</f>
        <v>#N/A</v>
      </c>
      <c r="AF27" s="370"/>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5" t="str">
        <f t="shared" si="26"/>
        <v>Spieler 4</v>
      </c>
      <c r="C28" s="376" t="str">
        <f t="shared" si="26"/>
        <v/>
      </c>
      <c r="D28" s="348" t="e">
        <f>IF(U28=301,"",U28)</f>
        <v>#N/A</v>
      </c>
      <c r="E28" s="348" t="str">
        <f>IF(V28=0,"",V28)</f>
        <v/>
      </c>
      <c r="F28" s="348" t="e">
        <f>IF(W28=301,"",W28)</f>
        <v>#N/A</v>
      </c>
      <c r="G28" s="348" t="str">
        <f>IF(X28=0,"",X28)</f>
        <v/>
      </c>
      <c r="H28" s="348" t="e">
        <f>IF(Y28=301,"",Y28)</f>
        <v>#N/A</v>
      </c>
      <c r="I28" s="348" t="str">
        <f>IF(Z28=0,"",Z28)</f>
        <v/>
      </c>
      <c r="J28" s="348" t="e">
        <f>IF(AA28=301,"",AA28)</f>
        <v>#N/A</v>
      </c>
      <c r="K28" s="348" t="str">
        <f>IF(AB28=0,"",AB28)</f>
        <v/>
      </c>
      <c r="L28" s="348" t="e">
        <f>IF(AC28=301,"",AC28)</f>
        <v>#N/A</v>
      </c>
      <c r="M28" s="348" t="str">
        <f>IF(AD28=0,"",AD28)</f>
        <v/>
      </c>
      <c r="N28" s="349"/>
      <c r="O28" s="349"/>
      <c r="S28" s="35" t="s">
        <v>11</v>
      </c>
      <c r="T28" s="36"/>
      <c r="U28" s="369" t="e">
        <f>ABS(INDEX(U:U,MATCH(U22,$S:$S,0)+14)+INDEX(U:U,MATCH(U22,$S:$S,0)+15)+INDEX(U:U,MATCH(U22,$S:$S,0)+16))</f>
        <v>#N/A</v>
      </c>
      <c r="V28" s="370"/>
      <c r="W28" s="369" t="e">
        <f>ABS(INDEX(W:W,MATCH(W22,$S:$S,0)+14)+INDEX(W:W,MATCH(W22,$S:$S,0)+15)+INDEX(W:W,MATCH(W22,$S:$S,0)+16))</f>
        <v>#N/A</v>
      </c>
      <c r="X28" s="370"/>
      <c r="Y28" s="369" t="e">
        <f>ABS(INDEX(Y:Y,MATCH(Y22,$S:$S,0)+14)+INDEX(Y:Y,MATCH(Y22,$S:$S,0)+15)+INDEX(Y:Y,MATCH(Y22,$S:$S,0)+16))</f>
        <v>#N/A</v>
      </c>
      <c r="Z28" s="370"/>
      <c r="AA28" s="369" t="e">
        <f>ABS(INDEX(AA:AA,MATCH(AA22,$S:$S,0)+14)+INDEX(AA:AA,MATCH(AA22,$S:$S,0)+15)+INDEX(AA:AA,MATCH(AA22,$S:$S,0)+16))</f>
        <v>#N/A</v>
      </c>
      <c r="AB28" s="370"/>
      <c r="AC28" s="369" t="e">
        <f>ABS(INDEX(AC:AC,MATCH(AC22,$S:$S,0)+14)+INDEX(AC:AC,MATCH(AC22,$S:$S,0)+15)+INDEX(AC:AC,MATCH(AC22,$S:$S,0)+16))</f>
        <v>#N/A</v>
      </c>
      <c r="AD28" s="370"/>
      <c r="AE28" s="369" t="e">
        <f>ABS(INDEX(AE:AE,MATCH(AE22,$S:$S,0)+14)+INDEX(AE:AE,MATCH(AE22,$S:$S,0)+15)+INDEX(AE:AE,MATCH(AE22,$S:$S,0)+16))</f>
        <v>#N/A</v>
      </c>
      <c r="AF28" s="370"/>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3" t="str">
        <f t="shared" si="26"/>
        <v>Gesamt</v>
      </c>
      <c r="C29" s="364" t="str">
        <f t="shared" si="26"/>
        <v/>
      </c>
      <c r="D29" s="347" t="e">
        <f>IF(U29=1505,"",U29)</f>
        <v>#N/A</v>
      </c>
      <c r="E29" s="347" t="str">
        <f>IF(V29=0,"",V29)</f>
        <v/>
      </c>
      <c r="F29" s="347" t="e">
        <f>IF(W29=1505,"",W29)</f>
        <v>#N/A</v>
      </c>
      <c r="G29" s="347" t="str">
        <f>IF(X29=0,"",X29)</f>
        <v/>
      </c>
      <c r="H29" s="347" t="e">
        <f>IF(Y29=1505,"",Y29)</f>
        <v>#N/A</v>
      </c>
      <c r="I29" s="347" t="str">
        <f>IF(Z29=0,"",Z29)</f>
        <v/>
      </c>
      <c r="J29" s="347" t="e">
        <f>IF(AA29=1505,"",AA29)</f>
        <v>#N/A</v>
      </c>
      <c r="K29" s="347" t="str">
        <f>IF(AB29=0,"",AB29)</f>
        <v/>
      </c>
      <c r="L29" s="347" t="e">
        <f>IF(AC29=1505,"",AC29)</f>
        <v>#N/A</v>
      </c>
      <c r="M29" s="347" t="str">
        <f>IF(AD29=0,"",AD29)</f>
        <v/>
      </c>
      <c r="N29" s="312"/>
      <c r="O29" s="312"/>
      <c r="S29" s="37" t="s">
        <v>1788</v>
      </c>
      <c r="T29" s="38"/>
      <c r="U29" s="363" t="e">
        <f>SUM(U25:U28)</f>
        <v>#N/A</v>
      </c>
      <c r="V29" s="364"/>
      <c r="W29" s="363" t="e">
        <f>SUM(W25:W28)</f>
        <v>#N/A</v>
      </c>
      <c r="X29" s="364"/>
      <c r="Y29" s="363" t="e">
        <f>SUM(Y25:Y28)</f>
        <v>#N/A</v>
      </c>
      <c r="Z29" s="364"/>
      <c r="AA29" s="363" t="e">
        <f>SUM(AA25:AA28)</f>
        <v>#N/A</v>
      </c>
      <c r="AB29" s="364"/>
      <c r="AC29" s="363" t="e">
        <f>SUM(AC25:AC28)</f>
        <v>#N/A</v>
      </c>
      <c r="AD29" s="364"/>
      <c r="AE29" s="363" t="e">
        <f>SUM(AE25:AE28)</f>
        <v>#N/A</v>
      </c>
      <c r="AF29" s="364"/>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80"/>
      <c r="N31" s="380" t="str">
        <f>AD31</f>
        <v>13.04.</v>
      </c>
      <c r="O31" s="380"/>
      <c r="P31" s="381"/>
      <c r="Q31" s="381"/>
      <c r="R31" s="381"/>
      <c r="S31" s="7" t="s">
        <v>1798</v>
      </c>
      <c r="T31" s="25"/>
      <c r="U31" s="30" t="s">
        <v>1782</v>
      </c>
      <c r="V31" s="76" t="str">
        <f>Schlüssel!$C$1</f>
        <v>Landesliga Nord Frauen</v>
      </c>
      <c r="X31" s="25"/>
      <c r="Y31" s="25"/>
      <c r="Z31" s="25"/>
      <c r="AA31" s="25"/>
      <c r="AC31" s="29"/>
      <c r="AD31" s="362" t="str">
        <f>Schlüssel!$CO$1</f>
        <v>13.04.</v>
      </c>
      <c r="AE31" s="362"/>
      <c r="AF31" s="362"/>
      <c r="AG31" s="362"/>
      <c r="AH31" s="362"/>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12</v>
      </c>
      <c r="W34" s="192" t="s">
        <v>10</v>
      </c>
      <c r="X34" s="190">
        <f>VLOOKUP(S32,Schlüssel!$A$5:$DF$10,94)</f>
        <v>11</v>
      </c>
      <c r="Y34" s="192" t="s">
        <v>10</v>
      </c>
      <c r="Z34" s="190">
        <f>VLOOKUP(S32,Schlüssel!$A$5:$DF$10,95)</f>
        <v>12</v>
      </c>
      <c r="AA34" s="192" t="s">
        <v>10</v>
      </c>
      <c r="AB34" s="190">
        <f>VLOOKUP(S32,Schlüssel!$A$5:$DF$10,96)</f>
        <v>11</v>
      </c>
      <c r="AC34" s="192" t="s">
        <v>10</v>
      </c>
      <c r="AD34" s="191">
        <f>VLOOKUP(S32,Schlüssel!$A$5:$DF$10,97)</f>
        <v>12</v>
      </c>
      <c r="AE34" s="192" t="s">
        <v>10</v>
      </c>
      <c r="AF34" s="191">
        <f>VLOOKUP(S32,Schlüssel!$A$5:$DF$10,98)</f>
        <v>11</v>
      </c>
      <c r="BA34" s="220"/>
      <c r="BB34" s="221"/>
      <c r="BC34" s="222"/>
      <c r="BN34" s="224"/>
      <c r="BO34" s="222"/>
      <c r="BS34" s="222"/>
      <c r="BT34" s="224"/>
      <c r="BW34" s="222"/>
    </row>
    <row r="35" spans="1:75" ht="20.25" customHeight="1" x14ac:dyDescent="0.25">
      <c r="B35" s="40" t="s">
        <v>1</v>
      </c>
      <c r="C35" s="41"/>
      <c r="D35" s="363" t="s">
        <v>1789</v>
      </c>
      <c r="E35" s="364"/>
      <c r="F35" s="363" t="s">
        <v>1790</v>
      </c>
      <c r="G35" s="364"/>
      <c r="H35" s="363" t="s">
        <v>1791</v>
      </c>
      <c r="I35" s="364"/>
      <c r="J35" s="363" t="s">
        <v>1792</v>
      </c>
      <c r="K35" s="364"/>
      <c r="L35" s="363" t="s">
        <v>1793</v>
      </c>
      <c r="M35" s="364"/>
      <c r="N35" s="365" t="s">
        <v>1788</v>
      </c>
      <c r="O35" s="366"/>
      <c r="S35" s="40" t="s">
        <v>1</v>
      </c>
      <c r="T35" s="41"/>
      <c r="U35" s="363" t="s">
        <v>1789</v>
      </c>
      <c r="V35" s="364"/>
      <c r="W35" s="363" t="s">
        <v>1790</v>
      </c>
      <c r="X35" s="364"/>
      <c r="Y35" s="363" t="s">
        <v>1791</v>
      </c>
      <c r="Z35" s="364"/>
      <c r="AA35" s="363" t="s">
        <v>1792</v>
      </c>
      <c r="AB35" s="364"/>
      <c r="AC35" s="363" t="s">
        <v>1793</v>
      </c>
      <c r="AD35" s="368"/>
      <c r="AE35" s="363" t="s">
        <v>2088</v>
      </c>
      <c r="AF35" s="368"/>
      <c r="AG35" s="367" t="s">
        <v>1788</v>
      </c>
      <c r="AH35" s="36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7" t="s">
        <v>0</v>
      </c>
      <c r="B37" s="17" t="str">
        <f>IF(S37=0,"",S37)</f>
        <v/>
      </c>
      <c r="C37" s="18" t="str">
        <f>IF(T37=0,"",T37)</f>
        <v/>
      </c>
      <c r="D37" s="14" t="str">
        <f>IF(U37=0,"",U37)</f>
        <v/>
      </c>
      <c r="E37" s="356">
        <f>IF(V37="","",V37)</f>
        <v>0</v>
      </c>
      <c r="F37" s="14" t="str">
        <f t="shared" ref="F37:F50" si="27">IF(W37=0,"",W37)</f>
        <v/>
      </c>
      <c r="G37" s="356">
        <f>IF(X37="","",X37)</f>
        <v>0</v>
      </c>
      <c r="H37" s="14" t="str">
        <f t="shared" ref="H37:H50" si="28">IF(Y37=0,"",Y37)</f>
        <v/>
      </c>
      <c r="I37" s="356">
        <f>IF(Z37="","",Z37)</f>
        <v>0</v>
      </c>
      <c r="J37" s="14" t="str">
        <f t="shared" ref="J37:J50" si="29">IF(AA37=0,"",AA37)</f>
        <v/>
      </c>
      <c r="K37" s="356">
        <f>IF(AB37="","",AB37)</f>
        <v>0</v>
      </c>
      <c r="L37" s="14" t="str">
        <f t="shared" ref="L37:L50" si="30">IF(AC37=0,"",AC37)</f>
        <v/>
      </c>
      <c r="M37" s="356">
        <f>IF(AD37="","",AD37)</f>
        <v>0</v>
      </c>
      <c r="N37" s="14" t="str">
        <f t="shared" ref="N37:N50" si="31">IF(AG37=0,"",AG37)</f>
        <v/>
      </c>
      <c r="O37" s="356">
        <f>IF(AH37="","",AH37)</f>
        <v>0</v>
      </c>
      <c r="R37" s="359"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2">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24</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8"/>
      <c r="B38" s="19" t="str">
        <f t="shared" ref="B38:D50" si="48">IF(S38=0,"",S38)</f>
        <v/>
      </c>
      <c r="C38" s="20" t="str">
        <f t="shared" si="48"/>
        <v/>
      </c>
      <c r="D38" s="15" t="str">
        <f t="shared" si="48"/>
        <v/>
      </c>
      <c r="E38" s="357"/>
      <c r="F38" s="15" t="str">
        <f t="shared" si="27"/>
        <v/>
      </c>
      <c r="G38" s="357"/>
      <c r="H38" s="15" t="str">
        <f t="shared" si="28"/>
        <v/>
      </c>
      <c r="I38" s="357"/>
      <c r="J38" s="15" t="str">
        <f t="shared" si="29"/>
        <v/>
      </c>
      <c r="K38" s="357"/>
      <c r="L38" s="15" t="str">
        <f t="shared" si="30"/>
        <v/>
      </c>
      <c r="M38" s="357"/>
      <c r="N38" s="15" t="str">
        <f t="shared" si="31"/>
        <v/>
      </c>
      <c r="O38" s="357"/>
      <c r="R38" s="360"/>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9">+BR37</f>
        <v>BC Phönix Lauf</v>
      </c>
      <c r="BS38" s="222">
        <f t="shared" si="45"/>
        <v>23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9"/>
      <c r="B39" s="21" t="str">
        <f t="shared" si="48"/>
        <v/>
      </c>
      <c r="C39" s="22" t="str">
        <f t="shared" si="48"/>
        <v/>
      </c>
      <c r="D39" s="9" t="str">
        <f t="shared" si="48"/>
        <v/>
      </c>
      <c r="E39" s="358"/>
      <c r="F39" s="9" t="str">
        <f t="shared" si="27"/>
        <v/>
      </c>
      <c r="G39" s="358"/>
      <c r="H39" s="9" t="str">
        <f t="shared" si="28"/>
        <v/>
      </c>
      <c r="I39" s="358"/>
      <c r="J39" s="9" t="str">
        <f t="shared" si="29"/>
        <v/>
      </c>
      <c r="K39" s="358"/>
      <c r="L39" s="9" t="str">
        <f t="shared" si="30"/>
        <v/>
      </c>
      <c r="M39" s="358"/>
      <c r="N39" s="9" t="str">
        <f t="shared" si="31"/>
        <v/>
      </c>
      <c r="O39" s="358"/>
      <c r="R39" s="361"/>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9"/>
        <v>BC Phönix Lauf</v>
      </c>
      <c r="BS39" s="222">
        <f t="shared" si="45"/>
        <v>22</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7" t="s">
        <v>2</v>
      </c>
      <c r="B40" s="17" t="str">
        <f t="shared" si="48"/>
        <v/>
      </c>
      <c r="C40" s="18" t="str">
        <f t="shared" si="48"/>
        <v/>
      </c>
      <c r="D40" s="14" t="str">
        <f t="shared" si="48"/>
        <v/>
      </c>
      <c r="E40" s="356">
        <f>IF(V40="","",V40)</f>
        <v>0</v>
      </c>
      <c r="F40" s="14" t="str">
        <f t="shared" si="27"/>
        <v/>
      </c>
      <c r="G40" s="356">
        <f>IF(X40="","",X40)</f>
        <v>0</v>
      </c>
      <c r="H40" s="14" t="str">
        <f t="shared" si="28"/>
        <v/>
      </c>
      <c r="I40" s="356">
        <f>IF(Z40="","",Z40)</f>
        <v>0</v>
      </c>
      <c r="J40" s="14" t="str">
        <f t="shared" si="29"/>
        <v/>
      </c>
      <c r="K40" s="356">
        <f>IF(AB40="","",AB40)</f>
        <v>0</v>
      </c>
      <c r="L40" s="14" t="str">
        <f t="shared" si="30"/>
        <v/>
      </c>
      <c r="M40" s="356">
        <f>IF(AD40="","",AD40)</f>
        <v>0</v>
      </c>
      <c r="N40" s="14" t="str">
        <f t="shared" si="31"/>
        <v/>
      </c>
      <c r="O40" s="356">
        <f>IF(AH40="","",AH40)</f>
        <v>0</v>
      </c>
      <c r="R40" s="359"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2"/>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9"/>
        <v>BC Phönix Lauf</v>
      </c>
      <c r="BS40" s="222">
        <f t="shared" si="45"/>
        <v>21</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8"/>
      <c r="B41" s="19" t="str">
        <f t="shared" si="48"/>
        <v/>
      </c>
      <c r="C41" s="20" t="str">
        <f t="shared" si="48"/>
        <v/>
      </c>
      <c r="D41" s="15" t="str">
        <f t="shared" si="48"/>
        <v/>
      </c>
      <c r="E41" s="357"/>
      <c r="F41" s="15" t="str">
        <f t="shared" si="27"/>
        <v/>
      </c>
      <c r="G41" s="357"/>
      <c r="H41" s="15" t="str">
        <f t="shared" si="28"/>
        <v/>
      </c>
      <c r="I41" s="357"/>
      <c r="J41" s="15" t="str">
        <f t="shared" si="29"/>
        <v/>
      </c>
      <c r="K41" s="357"/>
      <c r="L41" s="15" t="str">
        <f t="shared" si="30"/>
        <v/>
      </c>
      <c r="M41" s="357"/>
      <c r="N41" s="15" t="str">
        <f t="shared" si="31"/>
        <v/>
      </c>
      <c r="O41" s="357"/>
      <c r="R41" s="360"/>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9"/>
        <v>BC Phönix Lauf</v>
      </c>
      <c r="BS41" s="222">
        <f t="shared" si="45"/>
        <v>20</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9"/>
      <c r="B42" s="21" t="str">
        <f t="shared" si="48"/>
        <v/>
      </c>
      <c r="C42" s="22" t="str">
        <f t="shared" si="48"/>
        <v/>
      </c>
      <c r="D42" s="9" t="str">
        <f t="shared" si="48"/>
        <v/>
      </c>
      <c r="E42" s="358"/>
      <c r="F42" s="9" t="str">
        <f t="shared" si="27"/>
        <v/>
      </c>
      <c r="G42" s="358"/>
      <c r="H42" s="9" t="str">
        <f t="shared" si="28"/>
        <v/>
      </c>
      <c r="I42" s="358"/>
      <c r="J42" s="9" t="str">
        <f t="shared" si="29"/>
        <v/>
      </c>
      <c r="K42" s="358"/>
      <c r="L42" s="9" t="str">
        <f t="shared" si="30"/>
        <v/>
      </c>
      <c r="M42" s="358"/>
      <c r="N42" s="9" t="str">
        <f t="shared" si="31"/>
        <v/>
      </c>
      <c r="O42" s="358"/>
      <c r="R42" s="361"/>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9"/>
        <v>BC Phönix Lauf</v>
      </c>
      <c r="BS42" s="222">
        <f t="shared" si="45"/>
        <v>19</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7" t="s">
        <v>3</v>
      </c>
      <c r="B43" s="17" t="str">
        <f t="shared" si="48"/>
        <v/>
      </c>
      <c r="C43" s="18" t="str">
        <f t="shared" si="48"/>
        <v/>
      </c>
      <c r="D43" s="14" t="str">
        <f t="shared" si="48"/>
        <v/>
      </c>
      <c r="E43" s="356">
        <f>IF(V43="","",V43)</f>
        <v>0</v>
      </c>
      <c r="F43" s="14" t="str">
        <f t="shared" si="27"/>
        <v/>
      </c>
      <c r="G43" s="356">
        <f>IF(X43="","",X43)</f>
        <v>0</v>
      </c>
      <c r="H43" s="14" t="str">
        <f t="shared" si="28"/>
        <v/>
      </c>
      <c r="I43" s="356">
        <f>IF(Z43="","",Z43)</f>
        <v>0</v>
      </c>
      <c r="J43" s="14" t="str">
        <f t="shared" si="29"/>
        <v/>
      </c>
      <c r="K43" s="356">
        <f>IF(AB43="","",AB43)</f>
        <v>0</v>
      </c>
      <c r="L43" s="14" t="str">
        <f t="shared" si="30"/>
        <v/>
      </c>
      <c r="M43" s="356">
        <f>IF(AD43="","",AD43)</f>
        <v>0</v>
      </c>
      <c r="N43" s="14" t="str">
        <f t="shared" si="31"/>
        <v/>
      </c>
      <c r="O43" s="356">
        <f>IF(AH43="","",AH43)</f>
        <v>0</v>
      </c>
      <c r="R43" s="359"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2"/>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9"/>
        <v>BC Phönix Lauf</v>
      </c>
      <c r="BS43" s="222">
        <f t="shared" si="45"/>
        <v>18</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8"/>
      <c r="B44" s="19" t="str">
        <f t="shared" si="48"/>
        <v/>
      </c>
      <c r="C44" s="20" t="str">
        <f t="shared" si="48"/>
        <v/>
      </c>
      <c r="D44" s="15" t="str">
        <f t="shared" si="48"/>
        <v/>
      </c>
      <c r="E44" s="357"/>
      <c r="F44" s="15" t="str">
        <f t="shared" si="27"/>
        <v/>
      </c>
      <c r="G44" s="357"/>
      <c r="H44" s="15" t="str">
        <f t="shared" si="28"/>
        <v/>
      </c>
      <c r="I44" s="357"/>
      <c r="J44" s="15" t="str">
        <f t="shared" si="29"/>
        <v/>
      </c>
      <c r="K44" s="357"/>
      <c r="L44" s="15" t="str">
        <f t="shared" si="30"/>
        <v/>
      </c>
      <c r="M44" s="357"/>
      <c r="N44" s="15" t="str">
        <f t="shared" si="31"/>
        <v/>
      </c>
      <c r="O44" s="357"/>
      <c r="R44" s="360"/>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9"/>
        <v>BC Phönix Lauf</v>
      </c>
      <c r="BS44" s="222">
        <f t="shared" si="45"/>
        <v>17</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9"/>
      <c r="B45" s="21" t="str">
        <f t="shared" si="48"/>
        <v/>
      </c>
      <c r="C45" s="22" t="str">
        <f t="shared" si="48"/>
        <v/>
      </c>
      <c r="D45" s="9" t="str">
        <f t="shared" si="48"/>
        <v/>
      </c>
      <c r="E45" s="358"/>
      <c r="F45" s="9" t="str">
        <f t="shared" si="27"/>
        <v/>
      </c>
      <c r="G45" s="358"/>
      <c r="H45" s="9" t="str">
        <f t="shared" si="28"/>
        <v/>
      </c>
      <c r="I45" s="358"/>
      <c r="J45" s="9" t="str">
        <f t="shared" si="29"/>
        <v/>
      </c>
      <c r="K45" s="358"/>
      <c r="L45" s="9" t="str">
        <f t="shared" si="30"/>
        <v/>
      </c>
      <c r="M45" s="358"/>
      <c r="N45" s="9" t="str">
        <f t="shared" si="31"/>
        <v/>
      </c>
      <c r="O45" s="358"/>
      <c r="R45" s="361"/>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9"/>
        <v>BC Phönix Lauf</v>
      </c>
      <c r="BS45" s="222">
        <f t="shared" si="45"/>
        <v>16</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7" t="s">
        <v>11</v>
      </c>
      <c r="B46" s="17" t="str">
        <f>IF(S46=0,"",S46)</f>
        <v/>
      </c>
      <c r="C46" s="18" t="str">
        <f t="shared" si="48"/>
        <v/>
      </c>
      <c r="D46" s="14" t="str">
        <f t="shared" si="48"/>
        <v/>
      </c>
      <c r="E46" s="356">
        <f>IF(V46="","",V46)</f>
        <v>0</v>
      </c>
      <c r="F46" s="14" t="str">
        <f t="shared" si="27"/>
        <v/>
      </c>
      <c r="G46" s="356">
        <f>IF(X46="","",X46)</f>
        <v>0</v>
      </c>
      <c r="H46" s="14" t="str">
        <f t="shared" si="28"/>
        <v/>
      </c>
      <c r="I46" s="356">
        <f>IF(Z46="","",Z46)</f>
        <v>0</v>
      </c>
      <c r="J46" s="14" t="str">
        <f t="shared" si="29"/>
        <v/>
      </c>
      <c r="K46" s="356">
        <f>IF(AB46="","",AB46)</f>
        <v>0</v>
      </c>
      <c r="L46" s="14" t="str">
        <f t="shared" si="30"/>
        <v/>
      </c>
      <c r="M46" s="356">
        <f>IF(AD46="","",AD46)</f>
        <v>0</v>
      </c>
      <c r="N46" s="14" t="str">
        <f t="shared" si="31"/>
        <v/>
      </c>
      <c r="O46" s="356">
        <f>IF(AH46="","",AH46)</f>
        <v>0</v>
      </c>
      <c r="R46" s="359"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2"/>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9"/>
        <v>BC Phönix Lauf</v>
      </c>
      <c r="BS46" s="222">
        <f t="shared" si="45"/>
        <v>15</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8"/>
      <c r="B47" s="19" t="str">
        <f>IF(S47=0,"",S47)</f>
        <v/>
      </c>
      <c r="C47" s="20" t="str">
        <f t="shared" si="48"/>
        <v/>
      </c>
      <c r="D47" s="15" t="str">
        <f t="shared" si="48"/>
        <v/>
      </c>
      <c r="E47" s="357"/>
      <c r="F47" s="15" t="str">
        <f t="shared" si="27"/>
        <v/>
      </c>
      <c r="G47" s="357"/>
      <c r="H47" s="15" t="str">
        <f t="shared" si="28"/>
        <v/>
      </c>
      <c r="I47" s="357"/>
      <c r="J47" s="15" t="str">
        <f t="shared" si="29"/>
        <v/>
      </c>
      <c r="K47" s="357"/>
      <c r="L47" s="15" t="str">
        <f t="shared" si="30"/>
        <v/>
      </c>
      <c r="M47" s="357"/>
      <c r="N47" s="15" t="str">
        <f t="shared" si="31"/>
        <v/>
      </c>
      <c r="O47" s="357"/>
      <c r="R47" s="360"/>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9"/>
        <v>BC Phönix Lauf</v>
      </c>
      <c r="BS47" s="222">
        <f t="shared" si="45"/>
        <v>14</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9"/>
      <c r="B48" s="21" t="str">
        <f>IF(S48=0,"",S48)</f>
        <v/>
      </c>
      <c r="C48" s="22" t="str">
        <f t="shared" si="48"/>
        <v/>
      </c>
      <c r="D48" s="9" t="str">
        <f t="shared" si="48"/>
        <v/>
      </c>
      <c r="E48" s="358"/>
      <c r="F48" s="9" t="str">
        <f t="shared" si="27"/>
        <v/>
      </c>
      <c r="G48" s="358"/>
      <c r="H48" s="9" t="str">
        <f t="shared" si="28"/>
        <v/>
      </c>
      <c r="I48" s="358"/>
      <c r="J48" s="9" t="str">
        <f t="shared" si="29"/>
        <v/>
      </c>
      <c r="K48" s="358"/>
      <c r="L48" s="9" t="str">
        <f t="shared" si="30"/>
        <v/>
      </c>
      <c r="M48" s="358"/>
      <c r="N48" s="9" t="str">
        <f t="shared" si="31"/>
        <v/>
      </c>
      <c r="O48" s="358"/>
      <c r="R48" s="361"/>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9"/>
        <v>BC Phönix Lauf</v>
      </c>
      <c r="BS48" s="222">
        <f t="shared" si="45"/>
        <v>13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f>IF(V49="","",V49)</f>
        <v>0</v>
      </c>
      <c r="F49" s="16" t="str">
        <f t="shared" si="27"/>
        <v/>
      </c>
      <c r="G49" s="12">
        <f>IF(X49="","",X49)</f>
        <v>0</v>
      </c>
      <c r="H49" s="16" t="str">
        <f t="shared" si="28"/>
        <v/>
      </c>
      <c r="I49" s="12">
        <f>IF(Z49="","",Z49)</f>
        <v>0</v>
      </c>
      <c r="J49" s="16" t="str">
        <f t="shared" si="29"/>
        <v/>
      </c>
      <c r="K49" s="12">
        <f>IF(AB49="","",AB49)</f>
        <v>0</v>
      </c>
      <c r="L49" s="16" t="str">
        <f t="shared" si="30"/>
        <v/>
      </c>
      <c r="M49" s="12">
        <f>IF(AD49="","",AD49)</f>
        <v>0</v>
      </c>
      <c r="N49" s="16" t="str">
        <f t="shared" si="31"/>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f>IF(V50="","",V50)</f>
        <v>0</v>
      </c>
      <c r="F50" s="1" t="str">
        <f t="shared" si="27"/>
        <v/>
      </c>
      <c r="G50" s="23">
        <f>IF(X50="","",X50)</f>
        <v>0</v>
      </c>
      <c r="H50" s="1" t="str">
        <f t="shared" si="28"/>
        <v/>
      </c>
      <c r="I50" s="23">
        <f>IF(Z50="","",Z50)</f>
        <v>0</v>
      </c>
      <c r="J50" s="1" t="str">
        <f t="shared" si="29"/>
        <v/>
      </c>
      <c r="K50" s="23">
        <f>IF(AB50="","",AB50)</f>
        <v>0</v>
      </c>
      <c r="L50" s="1" t="str">
        <f t="shared" si="30"/>
        <v/>
      </c>
      <c r="M50" s="23">
        <f>IF(AD50="","",AD50)</f>
        <v>0</v>
      </c>
      <c r="N50" s="1" t="str">
        <f t="shared" si="31"/>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54">
        <f t="shared" si="51"/>
        <v>3</v>
      </c>
      <c r="E52" s="354" t="str">
        <f t="shared" si="51"/>
        <v/>
      </c>
      <c r="F52" s="354">
        <f t="shared" si="51"/>
        <v>3</v>
      </c>
      <c r="G52" s="354" t="str">
        <f t="shared" si="51"/>
        <v/>
      </c>
      <c r="H52" s="354">
        <f t="shared" si="51"/>
        <v>3</v>
      </c>
      <c r="I52" s="354" t="str">
        <f t="shared" si="51"/>
        <v/>
      </c>
      <c r="J52" s="354">
        <f t="shared" si="51"/>
        <v>3</v>
      </c>
      <c r="K52" s="354" t="str">
        <f t="shared" si="51"/>
        <v/>
      </c>
      <c r="L52" s="354">
        <f t="shared" si="51"/>
        <v>3</v>
      </c>
      <c r="M52" s="354" t="str">
        <f t="shared" si="51"/>
        <v/>
      </c>
      <c r="N52" s="355"/>
      <c r="O52" s="355"/>
      <c r="S52" s="13" t="s">
        <v>1786</v>
      </c>
      <c r="T52" s="5" t="s">
        <v>1787</v>
      </c>
      <c r="U52" s="373">
        <f>VLOOKUP($S32,Schlüssel!$A$5:$CX$10,83)</f>
        <v>3</v>
      </c>
      <c r="V52" s="374"/>
      <c r="W52" s="373">
        <f>VLOOKUP($S32,Schlüssel!$A$5:$DQ$10,84)</f>
        <v>3</v>
      </c>
      <c r="X52" s="374"/>
      <c r="Y52" s="373">
        <f>VLOOKUP($S32,Schlüssel!$A$5:$DQ$10,85)</f>
        <v>3</v>
      </c>
      <c r="Z52" s="374"/>
      <c r="AA52" s="373">
        <f>VLOOKUP($S32,Schlüssel!$A$5:$DQ$10,86)</f>
        <v>3</v>
      </c>
      <c r="AB52" s="374"/>
      <c r="AC52" s="373">
        <f>VLOOKUP($S32,Schlüssel!$A$5:$DQ$10,87)</f>
        <v>3</v>
      </c>
      <c r="AD52" s="374"/>
      <c r="AE52" s="373">
        <f>VLOOKUP($S32,Schlüssel!$A$5:$DQ$10,88)</f>
        <v>3</v>
      </c>
      <c r="AF52" s="374"/>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K54" si="52">IF(S53=0,"",S53)</f>
        <v/>
      </c>
      <c r="C53" s="1" t="str">
        <f t="shared" si="52"/>
        <v/>
      </c>
      <c r="D53" s="351" t="str">
        <f t="shared" si="52"/>
        <v>Mainauenbowler Bayreuth Land</v>
      </c>
      <c r="E53" s="352" t="str">
        <f t="shared" si="52"/>
        <v/>
      </c>
      <c r="F53" s="351" t="str">
        <f t="shared" si="52"/>
        <v>Mainauenbowler Bayreuth Land</v>
      </c>
      <c r="G53" s="352" t="str">
        <f t="shared" si="52"/>
        <v/>
      </c>
      <c r="H53" s="351" t="str">
        <f t="shared" si="52"/>
        <v>Mainauenbowler Bayreuth Land</v>
      </c>
      <c r="I53" s="352" t="str">
        <f t="shared" si="52"/>
        <v/>
      </c>
      <c r="J53" s="351" t="str">
        <f t="shared" si="52"/>
        <v>Mainauenbowler Bayreuth Land</v>
      </c>
      <c r="K53" s="352" t="str">
        <f t="shared" si="52"/>
        <v/>
      </c>
      <c r="L53" s="351" t="str">
        <f>IF(AC53=0,"",AC53)</f>
        <v>Mainauenbowler Bayreuth Land</v>
      </c>
      <c r="M53" s="352" t="str">
        <f>IF(AD53=0,"",AD53)</f>
        <v/>
      </c>
      <c r="N53" s="353"/>
      <c r="O53" s="353"/>
      <c r="S53" s="4"/>
      <c r="T53" s="1"/>
      <c r="U53" s="351" t="str">
        <f>VLOOKUP(U52,Schlüssel!$A$5:$K$10,2)</f>
        <v>Mainauenbowler Bayreuth Land</v>
      </c>
      <c r="V53" s="352"/>
      <c r="W53" s="351" t="str">
        <f>VLOOKUP(W52,Schlüssel!$A$5:$K$10,2)</f>
        <v>Mainauenbowler Bayreuth Land</v>
      </c>
      <c r="X53" s="352"/>
      <c r="Y53" s="351" t="str">
        <f>VLOOKUP(Y52,Schlüssel!$A$5:$K$10,2)</f>
        <v>Mainauenbowler Bayreuth Land</v>
      </c>
      <c r="Z53" s="352"/>
      <c r="AA53" s="351" t="str">
        <f>VLOOKUP(AA52,Schlüssel!$A$5:$K$10,2)</f>
        <v>Mainauenbowler Bayreuth Land</v>
      </c>
      <c r="AB53" s="352"/>
      <c r="AC53" s="351" t="str">
        <f>VLOOKUP(AC52,Schlüssel!$A$5:$K$10,2)</f>
        <v>Mainauenbowler Bayreuth Land</v>
      </c>
      <c r="AD53" s="352"/>
      <c r="AE53" s="351" t="str">
        <f>VLOOKUP(AE52,Schlüssel!$A$5:$K$10,2)</f>
        <v>Mainauenbowler Bayreuth Land</v>
      </c>
      <c r="AF53" s="35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50" t="str">
        <f t="shared" si="52"/>
        <v/>
      </c>
      <c r="E54" s="350" t="str">
        <f t="shared" si="52"/>
        <v/>
      </c>
      <c r="F54" s="350" t="str">
        <f t="shared" si="52"/>
        <v/>
      </c>
      <c r="G54" s="350" t="str">
        <f t="shared" si="52"/>
        <v/>
      </c>
      <c r="H54" s="350" t="str">
        <f t="shared" si="52"/>
        <v/>
      </c>
      <c r="I54" s="350" t="str">
        <f t="shared" si="52"/>
        <v/>
      </c>
      <c r="J54" s="350" t="str">
        <f t="shared" si="52"/>
        <v/>
      </c>
      <c r="K54" s="350" t="str">
        <f t="shared" si="52"/>
        <v/>
      </c>
      <c r="L54" s="350" t="str">
        <f>IF(AC54=0,"",AC54)</f>
        <v/>
      </c>
      <c r="M54" s="350" t="str">
        <f>IF(AD54=0,"",AD54)</f>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5" t="str">
        <f t="shared" ref="B55:C59" si="53">IF(S55=0,"",S55)</f>
        <v>Spieler 1</v>
      </c>
      <c r="C55" s="376" t="str">
        <f t="shared" si="53"/>
        <v/>
      </c>
      <c r="D55" s="348">
        <f>IF(U55=301,"",U55)</f>
        <v>0</v>
      </c>
      <c r="E55" s="348" t="str">
        <f>IF(V55=0,"",V55)</f>
        <v/>
      </c>
      <c r="F55" s="348">
        <f>IF(W55=301,"",W55)</f>
        <v>0</v>
      </c>
      <c r="G55" s="348" t="str">
        <f>IF(X55=0,"",X55)</f>
        <v/>
      </c>
      <c r="H55" s="348">
        <f>IF(Y55=301,"",Y55)</f>
        <v>0</v>
      </c>
      <c r="I55" s="348" t="str">
        <f>IF(Z55=0,"",Z55)</f>
        <v/>
      </c>
      <c r="J55" s="348">
        <f>IF(AA55=301,"",AA55)</f>
        <v>0</v>
      </c>
      <c r="K55" s="348" t="str">
        <f>IF(AB55=0,"",AB55)</f>
        <v/>
      </c>
      <c r="L55" s="348">
        <f>IF(AC55=301,"",AC55)</f>
        <v>0</v>
      </c>
      <c r="M55" s="348" t="str">
        <f>IF(AD55=0,"",AD55)</f>
        <v/>
      </c>
      <c r="N55" s="349"/>
      <c r="O55" s="349"/>
      <c r="S55" s="35" t="s">
        <v>0</v>
      </c>
      <c r="T55" s="36"/>
      <c r="U55" s="371">
        <f>ABS(INDEX(U:U,MATCH(U52,$S:$S,0)+5)+INDEX(U:U,MATCH(U52,$S:$S,0)+6)+INDEX(U:U,MATCH(U52,$S:$S,0)+7))</f>
        <v>0</v>
      </c>
      <c r="V55" s="372"/>
      <c r="W55" s="371">
        <f>ABS(INDEX(W:W,MATCH(W52,$S:$S,0)+5)+INDEX(W:W,MATCH(W52,$S:$S,0)+6)+INDEX(W:W,MATCH(W52,$S:$S,0)+7))</f>
        <v>0</v>
      </c>
      <c r="X55" s="372"/>
      <c r="Y55" s="371">
        <f>ABS(INDEX(Y:Y,MATCH(Y52,$S:$S,0)+5)+INDEX(Y:Y,MATCH(Y52,$S:$S,0)+6)+INDEX(Y:Y,MATCH(Y52,$S:$S,0)+7))</f>
        <v>0</v>
      </c>
      <c r="Z55" s="372"/>
      <c r="AA55" s="371">
        <f>ABS(INDEX(AA:AA,MATCH(AA52,$S:$S,0)+5)+INDEX(AA:AA,MATCH(AA52,$S:$S,0)+6)+INDEX(AA:AA,MATCH(AA52,$S:$S,0)+7))</f>
        <v>0</v>
      </c>
      <c r="AB55" s="372"/>
      <c r="AC55" s="371">
        <f>ABS(INDEX(AC:AC,MATCH(AC52,$S:$S,0)+5)+INDEX(AC:AC,MATCH(AC52,$S:$S,0)+6)+INDEX(AC:AC,MATCH(AC52,$S:$S,0)+7))</f>
        <v>0</v>
      </c>
      <c r="AD55" s="372"/>
      <c r="AE55" s="371">
        <f>ABS(INDEX(AE:AE,MATCH(AE52,$S:$S,0)+5)+INDEX(AE:AE,MATCH(AE52,$S:$S,0)+6)+INDEX(AE:AE,MATCH(AE52,$S:$S,0)+7))</f>
        <v>0</v>
      </c>
      <c r="AF55" s="372"/>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5" t="str">
        <f t="shared" si="53"/>
        <v>Spieler 2</v>
      </c>
      <c r="C56" s="376" t="str">
        <f t="shared" si="53"/>
        <v/>
      </c>
      <c r="D56" s="348">
        <f>IF(U56=301,"",U56)</f>
        <v>0</v>
      </c>
      <c r="E56" s="348" t="str">
        <f>IF(V56=0,"",V56)</f>
        <v/>
      </c>
      <c r="F56" s="348">
        <f>IF(W56=301,"",W56)</f>
        <v>0</v>
      </c>
      <c r="G56" s="348" t="str">
        <f>IF(X56=0,"",X56)</f>
        <v/>
      </c>
      <c r="H56" s="348">
        <f>IF(Y56=301,"",Y56)</f>
        <v>0</v>
      </c>
      <c r="I56" s="348" t="str">
        <f>IF(Z56=0,"",Z56)</f>
        <v/>
      </c>
      <c r="J56" s="348">
        <f>IF(AA56=301,"",AA56)</f>
        <v>0</v>
      </c>
      <c r="K56" s="348" t="str">
        <f>IF(AB56=0,"",AB56)</f>
        <v/>
      </c>
      <c r="L56" s="348">
        <f>IF(AC56=301,"",AC56)</f>
        <v>0</v>
      </c>
      <c r="M56" s="348" t="str">
        <f>IF(AD56=0,"",AD56)</f>
        <v/>
      </c>
      <c r="N56" s="349"/>
      <c r="O56" s="349"/>
      <c r="S56" s="35" t="s">
        <v>2</v>
      </c>
      <c r="T56" s="36"/>
      <c r="U56" s="369">
        <f>ABS(INDEX(U:U,MATCH(U52,$S:$S,0)+8)+INDEX(U:U,MATCH(U52,$S:$S,0)+9)+INDEX(U:U,MATCH(U52,$S:$S,0)+10))</f>
        <v>0</v>
      </c>
      <c r="V56" s="370"/>
      <c r="W56" s="369">
        <f>ABS(INDEX(W:W,MATCH(W52,$S:$S,0)+8)+INDEX(W:W,MATCH(W52,$S:$S,0)+9)+INDEX(W:W,MATCH(W52,$S:$S,0)+10))</f>
        <v>0</v>
      </c>
      <c r="X56" s="370"/>
      <c r="Y56" s="369">
        <f>ABS(INDEX(Y:Y,MATCH(Y52,$S:$S,0)+8)+INDEX(Y:Y,MATCH(Y52,$S:$S,0)+9)+INDEX(Y:Y,MATCH(Y52,$S:$S,0)+10))</f>
        <v>0</v>
      </c>
      <c r="Z56" s="370"/>
      <c r="AA56" s="369">
        <f>ABS(INDEX(AA:AA,MATCH(AA52,$S:$S,0)+8)+INDEX(AA:AA,MATCH(AA52,$S:$S,0)+9)+INDEX(AA:AA,MATCH(AA52,$S:$S,0)+10))</f>
        <v>0</v>
      </c>
      <c r="AB56" s="370"/>
      <c r="AC56" s="369">
        <f>ABS(INDEX(AC:AC,MATCH(AC52,$S:$S,0)+8)+INDEX(AC:AC,MATCH(AC52,$S:$S,0)+9)+INDEX(AC:AC,MATCH(AC52,$S:$S,0)+10))</f>
        <v>0</v>
      </c>
      <c r="AD56" s="370"/>
      <c r="AE56" s="369">
        <f>ABS(INDEX(AE:AE,MATCH(AE52,$S:$S,0)+8)+INDEX(AE:AE,MATCH(AE52,$S:$S,0)+9)+INDEX(AE:AE,MATCH(AE52,$S:$S,0)+10))</f>
        <v>0</v>
      </c>
      <c r="AF56" s="370"/>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5" t="str">
        <f t="shared" si="53"/>
        <v>Spieler 3</v>
      </c>
      <c r="C57" s="376" t="str">
        <f t="shared" si="53"/>
        <v/>
      </c>
      <c r="D57" s="348">
        <f>IF(U57=301,"",U57)</f>
        <v>0</v>
      </c>
      <c r="E57" s="348" t="str">
        <f>IF(V57=0,"",V57)</f>
        <v/>
      </c>
      <c r="F57" s="348">
        <f>IF(W57=301,"",W57)</f>
        <v>0</v>
      </c>
      <c r="G57" s="348" t="str">
        <f>IF(X57=0,"",X57)</f>
        <v/>
      </c>
      <c r="H57" s="348">
        <f>IF(Y57=301,"",Y57)</f>
        <v>0</v>
      </c>
      <c r="I57" s="348" t="str">
        <f>IF(Z57=0,"",Z57)</f>
        <v/>
      </c>
      <c r="J57" s="348">
        <f>IF(AA57=301,"",AA57)</f>
        <v>0</v>
      </c>
      <c r="K57" s="348" t="str">
        <f>IF(AB57=0,"",AB57)</f>
        <v/>
      </c>
      <c r="L57" s="348">
        <f>IF(AC57=301,"",AC57)</f>
        <v>0</v>
      </c>
      <c r="M57" s="348" t="str">
        <f>IF(AD57=0,"",AD57)</f>
        <v/>
      </c>
      <c r="N57" s="349"/>
      <c r="O57" s="349"/>
      <c r="S57" s="35" t="s">
        <v>3</v>
      </c>
      <c r="T57" s="36"/>
      <c r="U57" s="369">
        <f>ABS(INDEX(U:U,MATCH(U52,$S:$S,0)+11)+INDEX(U:U,MATCH(U52,$S:$S,0)+12)+INDEX(U:U,MATCH(U52,$S:$S,0)+13))</f>
        <v>0</v>
      </c>
      <c r="V57" s="370"/>
      <c r="W57" s="369">
        <f>ABS(INDEX(W:W,MATCH(W52,$S:$S,0)+11)+INDEX(W:W,MATCH(W52,$S:$S,0)+12)+INDEX(W:W,MATCH(W52,$S:$S,0)+13))</f>
        <v>0</v>
      </c>
      <c r="X57" s="370"/>
      <c r="Y57" s="369">
        <f>ABS(INDEX(Y:Y,MATCH(Y52,$S:$S,0)+11)+INDEX(Y:Y,MATCH(Y52,$S:$S,0)+12)+INDEX(Y:Y,MATCH(Y52,$S:$S,0)+13))</f>
        <v>0</v>
      </c>
      <c r="Z57" s="370"/>
      <c r="AA57" s="369">
        <f>ABS(INDEX(AA:AA,MATCH(AA52,$S:$S,0)+11)+INDEX(AA:AA,MATCH(AA52,$S:$S,0)+12)+INDEX(AA:AA,MATCH(AA52,$S:$S,0)+13))</f>
        <v>0</v>
      </c>
      <c r="AB57" s="370"/>
      <c r="AC57" s="369">
        <f>ABS(INDEX(AC:AC,MATCH(AC52,$S:$S,0)+11)+INDEX(AC:AC,MATCH(AC52,$S:$S,0)+12)+INDEX(AC:AC,MATCH(AC52,$S:$S,0)+13))</f>
        <v>0</v>
      </c>
      <c r="AD57" s="370"/>
      <c r="AE57" s="369">
        <f>ABS(INDEX(AE:AE,MATCH(AE52,$S:$S,0)+11)+INDEX(AE:AE,MATCH(AE52,$S:$S,0)+12)+INDEX(AE:AE,MATCH(AE52,$S:$S,0)+13))</f>
        <v>0</v>
      </c>
      <c r="AF57" s="370"/>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5" t="str">
        <f t="shared" si="53"/>
        <v>Spieler 4</v>
      </c>
      <c r="C58" s="376" t="str">
        <f t="shared" si="53"/>
        <v/>
      </c>
      <c r="D58" s="348">
        <f>IF(U58=301,"",U58)</f>
        <v>0</v>
      </c>
      <c r="E58" s="348" t="str">
        <f>IF(V58=0,"",V58)</f>
        <v/>
      </c>
      <c r="F58" s="348">
        <f>IF(W58=301,"",W58)</f>
        <v>0</v>
      </c>
      <c r="G58" s="348" t="str">
        <f>IF(X58=0,"",X58)</f>
        <v/>
      </c>
      <c r="H58" s="348">
        <f>IF(Y58=301,"",Y58)</f>
        <v>0</v>
      </c>
      <c r="I58" s="348" t="str">
        <f>IF(Z58=0,"",Z58)</f>
        <v/>
      </c>
      <c r="J58" s="348">
        <f>IF(AA58=301,"",AA58)</f>
        <v>0</v>
      </c>
      <c r="K58" s="348" t="str">
        <f>IF(AB58=0,"",AB58)</f>
        <v/>
      </c>
      <c r="L58" s="348">
        <f>IF(AC58=301,"",AC58)</f>
        <v>0</v>
      </c>
      <c r="M58" s="348" t="str">
        <f>IF(AD58=0,"",AD58)</f>
        <v/>
      </c>
      <c r="N58" s="349"/>
      <c r="O58" s="349"/>
      <c r="S58" s="35" t="s">
        <v>11</v>
      </c>
      <c r="T58" s="36"/>
      <c r="U58" s="369">
        <f>ABS(INDEX(U:U,MATCH(U52,$S:$S,0)+14)+INDEX(U:U,MATCH(U52,$S:$S,0)+15)+INDEX(U:U,MATCH(U52,$S:$S,0)+16))</f>
        <v>0</v>
      </c>
      <c r="V58" s="370"/>
      <c r="W58" s="369">
        <f>ABS(INDEX(W:W,MATCH(W52,$S:$S,0)+14)+INDEX(W:W,MATCH(W52,$S:$S,0)+15)+INDEX(W:W,MATCH(W52,$S:$S,0)+16))</f>
        <v>0</v>
      </c>
      <c r="X58" s="370"/>
      <c r="Y58" s="369">
        <f>ABS(INDEX(Y:Y,MATCH(Y52,$S:$S,0)+14)+INDEX(Y:Y,MATCH(Y52,$S:$S,0)+15)+INDEX(Y:Y,MATCH(Y52,$S:$S,0)+16))</f>
        <v>0</v>
      </c>
      <c r="Z58" s="370"/>
      <c r="AA58" s="369">
        <f>ABS(INDEX(AA:AA,MATCH(AA52,$S:$S,0)+14)+INDEX(AA:AA,MATCH(AA52,$S:$S,0)+15)+INDEX(AA:AA,MATCH(AA52,$S:$S,0)+16))</f>
        <v>0</v>
      </c>
      <c r="AB58" s="370"/>
      <c r="AC58" s="369">
        <f>ABS(INDEX(AC:AC,MATCH(AC52,$S:$S,0)+14)+INDEX(AC:AC,MATCH(AC52,$S:$S,0)+15)+INDEX(AC:AC,MATCH(AC52,$S:$S,0)+16))</f>
        <v>0</v>
      </c>
      <c r="AD58" s="370"/>
      <c r="AE58" s="369">
        <f>ABS(INDEX(AE:AE,MATCH(AE52,$S:$S,0)+14)+INDEX(AE:AE,MATCH(AE52,$S:$S,0)+15)+INDEX(AE:AE,MATCH(AE52,$S:$S,0)+16))</f>
        <v>0</v>
      </c>
      <c r="AF58" s="370"/>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3" t="str">
        <f t="shared" si="53"/>
        <v>Gesamt</v>
      </c>
      <c r="C59" s="364" t="str">
        <f t="shared" si="53"/>
        <v/>
      </c>
      <c r="D59" s="347">
        <f>IF(U59=1505,"",U59)</f>
        <v>0</v>
      </c>
      <c r="E59" s="347" t="str">
        <f>IF(V59=0,"",V59)</f>
        <v/>
      </c>
      <c r="F59" s="347">
        <f>IF(W59=1505,"",W59)</f>
        <v>0</v>
      </c>
      <c r="G59" s="347" t="str">
        <f>IF(X59=0,"",X59)</f>
        <v/>
      </c>
      <c r="H59" s="347">
        <f>IF(Y59=1505,"",Y59)</f>
        <v>0</v>
      </c>
      <c r="I59" s="347" t="str">
        <f>IF(Z59=0,"",Z59)</f>
        <v/>
      </c>
      <c r="J59" s="347">
        <f>IF(AA59=1505,"",AA59)</f>
        <v>0</v>
      </c>
      <c r="K59" s="347" t="str">
        <f>IF(AB59=0,"",AB59)</f>
        <v/>
      </c>
      <c r="L59" s="347">
        <f>IF(AC59=1505,"",AC59)</f>
        <v>0</v>
      </c>
      <c r="M59" s="347" t="str">
        <f>IF(AD59=0,"",AD59)</f>
        <v/>
      </c>
      <c r="N59" s="312"/>
      <c r="O59" s="312"/>
      <c r="S59" s="37" t="s">
        <v>1788</v>
      </c>
      <c r="T59" s="38"/>
      <c r="U59" s="363">
        <f>SUM(U55:U58)</f>
        <v>0</v>
      </c>
      <c r="V59" s="364"/>
      <c r="W59" s="363">
        <f>SUM(W55:W58)</f>
        <v>0</v>
      </c>
      <c r="X59" s="364"/>
      <c r="Y59" s="363">
        <f>SUM(Y55:Y58)</f>
        <v>0</v>
      </c>
      <c r="Z59" s="364"/>
      <c r="AA59" s="363">
        <f>SUM(AA55:AA58)</f>
        <v>0</v>
      </c>
      <c r="AB59" s="364"/>
      <c r="AC59" s="363">
        <f>SUM(AC55:AC58)</f>
        <v>0</v>
      </c>
      <c r="AD59" s="364"/>
      <c r="AE59" s="363">
        <f>SUM(AE55:AE58)</f>
        <v>0</v>
      </c>
      <c r="AF59" s="364"/>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80"/>
      <c r="N61" s="380" t="str">
        <f>AD61</f>
        <v>13.04.</v>
      </c>
      <c r="O61" s="380"/>
      <c r="P61" s="381"/>
      <c r="Q61" s="381"/>
      <c r="R61" s="381"/>
      <c r="S61" s="7" t="s">
        <v>1798</v>
      </c>
      <c r="T61" s="25"/>
      <c r="U61" s="30" t="s">
        <v>1782</v>
      </c>
      <c r="V61" s="76" t="str">
        <f>Schlüssel!$C$1</f>
        <v>Landesliga Nord Frauen</v>
      </c>
      <c r="X61" s="25"/>
      <c r="Y61" s="25"/>
      <c r="Z61" s="25"/>
      <c r="AA61" s="25"/>
      <c r="AC61" s="29"/>
      <c r="AD61" s="362" t="str">
        <f>Schlüssel!$CO$1</f>
        <v>13.04.</v>
      </c>
      <c r="AE61" s="362"/>
      <c r="AF61" s="362"/>
      <c r="AG61" s="362"/>
      <c r="AH61" s="362"/>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11</v>
      </c>
      <c r="W64" s="192" t="s">
        <v>10</v>
      </c>
      <c r="X64" s="190">
        <f>VLOOKUP(S62,Schlüssel!$A$5:$DF$10,94)</f>
        <v>12</v>
      </c>
      <c r="Y64" s="192" t="s">
        <v>10</v>
      </c>
      <c r="Z64" s="190">
        <f>VLOOKUP(S62,Schlüssel!$A$5:$DF$10,95)</f>
        <v>11</v>
      </c>
      <c r="AA64" s="192" t="s">
        <v>10</v>
      </c>
      <c r="AB64" s="190">
        <f>VLOOKUP(S62,Schlüssel!$A$5:$DF$10,96)</f>
        <v>12</v>
      </c>
      <c r="AC64" s="192" t="s">
        <v>10</v>
      </c>
      <c r="AD64" s="191">
        <f>VLOOKUP(S62,Schlüssel!$A$5:$DF$10,97)</f>
        <v>11</v>
      </c>
      <c r="AE64" s="192" t="s">
        <v>10</v>
      </c>
      <c r="AF64" s="191">
        <f>VLOOKUP(S62,Schlüssel!$A$5:$DF$10,98)</f>
        <v>12</v>
      </c>
      <c r="BA64" s="220"/>
      <c r="BB64" s="221"/>
      <c r="BC64" s="222"/>
      <c r="BN64" s="224"/>
      <c r="BO64" s="222"/>
      <c r="BS64" s="222"/>
      <c r="BT64" s="224"/>
      <c r="BW64" s="222"/>
    </row>
    <row r="65" spans="1:75" ht="20.25" customHeight="1" x14ac:dyDescent="0.25">
      <c r="B65" s="40" t="s">
        <v>1</v>
      </c>
      <c r="C65" s="41"/>
      <c r="D65" s="363" t="s">
        <v>1789</v>
      </c>
      <c r="E65" s="364"/>
      <c r="F65" s="363" t="s">
        <v>1790</v>
      </c>
      <c r="G65" s="364"/>
      <c r="H65" s="363" t="s">
        <v>1791</v>
      </c>
      <c r="I65" s="364"/>
      <c r="J65" s="363" t="s">
        <v>1792</v>
      </c>
      <c r="K65" s="364"/>
      <c r="L65" s="363" t="s">
        <v>1793</v>
      </c>
      <c r="M65" s="364"/>
      <c r="N65" s="365" t="s">
        <v>1788</v>
      </c>
      <c r="O65" s="366"/>
      <c r="S65" s="40" t="s">
        <v>1</v>
      </c>
      <c r="T65" s="41"/>
      <c r="U65" s="363" t="s">
        <v>1789</v>
      </c>
      <c r="V65" s="364"/>
      <c r="W65" s="363" t="s">
        <v>1790</v>
      </c>
      <c r="X65" s="364"/>
      <c r="Y65" s="363" t="s">
        <v>1791</v>
      </c>
      <c r="Z65" s="364"/>
      <c r="AA65" s="363" t="s">
        <v>1792</v>
      </c>
      <c r="AB65" s="364"/>
      <c r="AC65" s="363" t="s">
        <v>1793</v>
      </c>
      <c r="AD65" s="368"/>
      <c r="AE65" s="363" t="s">
        <v>2088</v>
      </c>
      <c r="AF65" s="368"/>
      <c r="AG65" s="367" t="s">
        <v>1788</v>
      </c>
      <c r="AH65" s="36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7" t="s">
        <v>0</v>
      </c>
      <c r="B67" s="17" t="str">
        <f>IF(S67=0,"",S67)</f>
        <v/>
      </c>
      <c r="C67" s="18" t="str">
        <f>IF(T67=0,"",T67)</f>
        <v/>
      </c>
      <c r="D67" s="14" t="str">
        <f>IF(U67=0,"",U67)</f>
        <v/>
      </c>
      <c r="E67" s="356">
        <f>IF(V67="","",V67)</f>
        <v>0</v>
      </c>
      <c r="F67" s="14" t="str">
        <f t="shared" ref="F67:F80" si="54">IF(W67=0,"",W67)</f>
        <v/>
      </c>
      <c r="G67" s="356">
        <f>IF(X67="","",X67)</f>
        <v>0</v>
      </c>
      <c r="H67" s="14" t="str">
        <f t="shared" ref="H67:H80" si="55">IF(Y67=0,"",Y67)</f>
        <v/>
      </c>
      <c r="I67" s="356">
        <f>IF(Z67="","",Z67)</f>
        <v>0</v>
      </c>
      <c r="J67" s="14" t="str">
        <f t="shared" ref="J67:J80" si="56">IF(AA67=0,"",AA67)</f>
        <v/>
      </c>
      <c r="K67" s="356">
        <f>IF(AB67="","",AB67)</f>
        <v>0</v>
      </c>
      <c r="L67" s="14" t="str">
        <f t="shared" ref="L67:L80" si="57">IF(AC67=0,"",AC67)</f>
        <v/>
      </c>
      <c r="M67" s="356">
        <f>IF(AD67="","",AD67)</f>
        <v>0</v>
      </c>
      <c r="N67" s="14" t="str">
        <f t="shared" ref="N67:N80" si="58">IF(AG67=0,"",AG67)</f>
        <v/>
      </c>
      <c r="O67" s="356">
        <f>IF(AH67="","",AH67)</f>
        <v>0</v>
      </c>
      <c r="R67" s="359"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12</v>
      </c>
      <c r="BT67" s="223">
        <f>SUMIF(BH67:BM67,"&gt;0")</f>
        <v>0</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8"/>
      <c r="B68" s="19" t="str">
        <f t="shared" ref="B68:D80" si="75">IF(S68=0,"",S68)</f>
        <v/>
      </c>
      <c r="C68" s="20" t="str">
        <f t="shared" si="75"/>
        <v/>
      </c>
      <c r="D68" s="15" t="str">
        <f t="shared" si="75"/>
        <v/>
      </c>
      <c r="E68" s="357"/>
      <c r="F68" s="15" t="str">
        <f t="shared" si="54"/>
        <v/>
      </c>
      <c r="G68" s="357"/>
      <c r="H68" s="15" t="str">
        <f t="shared" si="55"/>
        <v/>
      </c>
      <c r="I68" s="357"/>
      <c r="J68" s="15" t="str">
        <f t="shared" si="56"/>
        <v/>
      </c>
      <c r="K68" s="357"/>
      <c r="L68" s="15" t="str">
        <f t="shared" si="57"/>
        <v/>
      </c>
      <c r="M68" s="357"/>
      <c r="N68" s="15" t="str">
        <f t="shared" si="58"/>
        <v/>
      </c>
      <c r="O68" s="357"/>
      <c r="R68" s="360"/>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6">+BR67</f>
        <v>Mainauenbowler Bayreuth Land</v>
      </c>
      <c r="BS68" s="222">
        <f t="shared" si="72"/>
        <v>11</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9"/>
      <c r="B69" s="21" t="str">
        <f t="shared" si="75"/>
        <v/>
      </c>
      <c r="C69" s="22" t="str">
        <f t="shared" si="75"/>
        <v/>
      </c>
      <c r="D69" s="9" t="str">
        <f t="shared" si="75"/>
        <v/>
      </c>
      <c r="E69" s="358"/>
      <c r="F69" s="9" t="str">
        <f t="shared" si="54"/>
        <v/>
      </c>
      <c r="G69" s="358"/>
      <c r="H69" s="9" t="str">
        <f t="shared" si="55"/>
        <v/>
      </c>
      <c r="I69" s="358"/>
      <c r="J69" s="9" t="str">
        <f t="shared" si="56"/>
        <v/>
      </c>
      <c r="K69" s="358"/>
      <c r="L69" s="9" t="str">
        <f t="shared" si="57"/>
        <v/>
      </c>
      <c r="M69" s="358"/>
      <c r="N69" s="9" t="str">
        <f t="shared" si="58"/>
        <v/>
      </c>
      <c r="O69" s="358"/>
      <c r="R69" s="361"/>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6"/>
        <v>Mainauenbowler Bayreuth Land</v>
      </c>
      <c r="BS69" s="222">
        <f t="shared" si="72"/>
        <v>10</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7" t="s">
        <v>2</v>
      </c>
      <c r="B70" s="17" t="str">
        <f t="shared" si="75"/>
        <v/>
      </c>
      <c r="C70" s="18" t="str">
        <f t="shared" si="75"/>
        <v/>
      </c>
      <c r="D70" s="14" t="str">
        <f t="shared" si="75"/>
        <v/>
      </c>
      <c r="E70" s="356">
        <f>IF(V70="","",V70)</f>
        <v>0</v>
      </c>
      <c r="F70" s="14" t="str">
        <f t="shared" si="54"/>
        <v/>
      </c>
      <c r="G70" s="356">
        <f>IF(X70="","",X70)</f>
        <v>0</v>
      </c>
      <c r="H70" s="14" t="str">
        <f t="shared" si="55"/>
        <v/>
      </c>
      <c r="I70" s="356">
        <f>IF(Z70="","",Z70)</f>
        <v>0</v>
      </c>
      <c r="J70" s="14" t="str">
        <f t="shared" si="56"/>
        <v/>
      </c>
      <c r="K70" s="356">
        <f>IF(AB70="","",AB70)</f>
        <v>0</v>
      </c>
      <c r="L70" s="14" t="str">
        <f t="shared" si="57"/>
        <v/>
      </c>
      <c r="M70" s="356">
        <f>IF(AD70="","",AD70)</f>
        <v>0</v>
      </c>
      <c r="N70" s="14" t="str">
        <f t="shared" si="58"/>
        <v/>
      </c>
      <c r="O70" s="356">
        <f>IF(AH70="","",AH70)</f>
        <v>0</v>
      </c>
      <c r="R70" s="359"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6"/>
        <v>Mainauenbowler Bayreuth Land</v>
      </c>
      <c r="BS70" s="222">
        <f t="shared" si="72"/>
        <v>9</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8"/>
      <c r="B71" s="19" t="str">
        <f t="shared" si="75"/>
        <v/>
      </c>
      <c r="C71" s="20" t="str">
        <f t="shared" si="75"/>
        <v/>
      </c>
      <c r="D71" s="15" t="str">
        <f t="shared" si="75"/>
        <v/>
      </c>
      <c r="E71" s="357"/>
      <c r="F71" s="15" t="str">
        <f t="shared" si="54"/>
        <v/>
      </c>
      <c r="G71" s="357"/>
      <c r="H71" s="15" t="str">
        <f t="shared" si="55"/>
        <v/>
      </c>
      <c r="I71" s="357"/>
      <c r="J71" s="15" t="str">
        <f t="shared" si="56"/>
        <v/>
      </c>
      <c r="K71" s="357"/>
      <c r="L71" s="15" t="str">
        <f t="shared" si="57"/>
        <v/>
      </c>
      <c r="M71" s="357"/>
      <c r="N71" s="15" t="str">
        <f t="shared" si="58"/>
        <v/>
      </c>
      <c r="O71" s="357"/>
      <c r="R71" s="360"/>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6"/>
        <v>Mainauenbowler Bayreuth Land</v>
      </c>
      <c r="BS71" s="222">
        <f t="shared" si="72"/>
        <v>8</v>
      </c>
      <c r="BT71" s="223">
        <f t="shared" si="77"/>
        <v>0</v>
      </c>
      <c r="BU71" s="223">
        <f>IF(COUNTIF(BH71:BM71,"&gt;0")&lt;Spielorte!$A$23,0,BE71/Spielorte!$A$23)</f>
        <v>0</v>
      </c>
      <c r="BV71" s="223">
        <f t="shared" si="73"/>
        <v>7.1E-8</v>
      </c>
      <c r="BW71" s="222">
        <f t="shared" si="74"/>
        <v>8</v>
      </c>
    </row>
    <row r="72" spans="1:75" ht="17.100000000000001" customHeight="1" thickBot="1" x14ac:dyDescent="0.3">
      <c r="A72" s="379"/>
      <c r="B72" s="21" t="str">
        <f t="shared" si="75"/>
        <v/>
      </c>
      <c r="C72" s="22" t="str">
        <f t="shared" si="75"/>
        <v/>
      </c>
      <c r="D72" s="9" t="str">
        <f t="shared" si="75"/>
        <v/>
      </c>
      <c r="E72" s="358"/>
      <c r="F72" s="9" t="str">
        <f t="shared" si="54"/>
        <v/>
      </c>
      <c r="G72" s="358"/>
      <c r="H72" s="9" t="str">
        <f t="shared" si="55"/>
        <v/>
      </c>
      <c r="I72" s="358"/>
      <c r="J72" s="9" t="str">
        <f t="shared" si="56"/>
        <v/>
      </c>
      <c r="K72" s="358"/>
      <c r="L72" s="9" t="str">
        <f t="shared" si="57"/>
        <v/>
      </c>
      <c r="M72" s="358"/>
      <c r="N72" s="9" t="str">
        <f t="shared" si="58"/>
        <v/>
      </c>
      <c r="O72" s="358"/>
      <c r="R72" s="361"/>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6"/>
        <v>Mainauenbowler Bayreuth Land</v>
      </c>
      <c r="BS72" s="222">
        <f t="shared" si="72"/>
        <v>7</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7" t="s">
        <v>3</v>
      </c>
      <c r="B73" s="17" t="str">
        <f t="shared" si="75"/>
        <v/>
      </c>
      <c r="C73" s="18" t="str">
        <f t="shared" si="75"/>
        <v/>
      </c>
      <c r="D73" s="14" t="str">
        <f t="shared" si="75"/>
        <v/>
      </c>
      <c r="E73" s="356">
        <f>IF(V73="","",V73)</f>
        <v>0</v>
      </c>
      <c r="F73" s="14" t="str">
        <f t="shared" si="54"/>
        <v/>
      </c>
      <c r="G73" s="356">
        <f>IF(X73="","",X73)</f>
        <v>0</v>
      </c>
      <c r="H73" s="14" t="str">
        <f t="shared" si="55"/>
        <v/>
      </c>
      <c r="I73" s="356">
        <f>IF(Z73="","",Z73)</f>
        <v>0</v>
      </c>
      <c r="J73" s="14" t="str">
        <f t="shared" si="56"/>
        <v/>
      </c>
      <c r="K73" s="356">
        <f>IF(AB73="","",AB73)</f>
        <v>0</v>
      </c>
      <c r="L73" s="14" t="str">
        <f t="shared" si="57"/>
        <v/>
      </c>
      <c r="M73" s="356">
        <f>IF(AD73="","",AD73)</f>
        <v>0</v>
      </c>
      <c r="N73" s="14" t="str">
        <f t="shared" si="58"/>
        <v/>
      </c>
      <c r="O73" s="356">
        <f>IF(AH73="","",AH73)</f>
        <v>0</v>
      </c>
      <c r="R73" s="359"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6"/>
        <v>Mainauenbowler Bayreuth Land</v>
      </c>
      <c r="BS73" s="222">
        <f t="shared" si="72"/>
        <v>6</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8"/>
      <c r="B74" s="19" t="str">
        <f t="shared" si="75"/>
        <v/>
      </c>
      <c r="C74" s="20" t="str">
        <f t="shared" si="75"/>
        <v/>
      </c>
      <c r="D74" s="15" t="str">
        <f t="shared" si="75"/>
        <v/>
      </c>
      <c r="E74" s="357"/>
      <c r="F74" s="15" t="str">
        <f t="shared" si="54"/>
        <v/>
      </c>
      <c r="G74" s="357"/>
      <c r="H74" s="15" t="str">
        <f t="shared" si="55"/>
        <v/>
      </c>
      <c r="I74" s="357"/>
      <c r="J74" s="15" t="str">
        <f t="shared" si="56"/>
        <v/>
      </c>
      <c r="K74" s="357"/>
      <c r="L74" s="15" t="str">
        <f t="shared" si="57"/>
        <v/>
      </c>
      <c r="M74" s="357"/>
      <c r="N74" s="15" t="str">
        <f t="shared" si="58"/>
        <v/>
      </c>
      <c r="O74" s="357"/>
      <c r="R74" s="360"/>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6"/>
        <v>Mainauenbowler Bayreuth Land</v>
      </c>
      <c r="BS74" s="222">
        <f t="shared" si="72"/>
        <v>5</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9"/>
      <c r="B75" s="21" t="str">
        <f t="shared" si="75"/>
        <v/>
      </c>
      <c r="C75" s="22" t="str">
        <f t="shared" si="75"/>
        <v/>
      </c>
      <c r="D75" s="9" t="str">
        <f t="shared" si="75"/>
        <v/>
      </c>
      <c r="E75" s="358"/>
      <c r="F75" s="9" t="str">
        <f t="shared" si="54"/>
        <v/>
      </c>
      <c r="G75" s="358"/>
      <c r="H75" s="9" t="str">
        <f t="shared" si="55"/>
        <v/>
      </c>
      <c r="I75" s="358"/>
      <c r="J75" s="9" t="str">
        <f t="shared" si="56"/>
        <v/>
      </c>
      <c r="K75" s="358"/>
      <c r="L75" s="9" t="str">
        <f t="shared" si="57"/>
        <v/>
      </c>
      <c r="M75" s="358"/>
      <c r="N75" s="9" t="str">
        <f t="shared" si="58"/>
        <v/>
      </c>
      <c r="O75" s="358"/>
      <c r="R75" s="361"/>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6"/>
        <v>Mainauenbowler Bayreuth Land</v>
      </c>
      <c r="BS75" s="222">
        <f t="shared" si="72"/>
        <v>4</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7" t="s">
        <v>11</v>
      </c>
      <c r="B76" s="17" t="str">
        <f>IF(S76=0,"",S76)</f>
        <v/>
      </c>
      <c r="C76" s="18" t="str">
        <f t="shared" si="75"/>
        <v/>
      </c>
      <c r="D76" s="14" t="str">
        <f t="shared" si="75"/>
        <v/>
      </c>
      <c r="E76" s="356">
        <f>IF(V76="","",V76)</f>
        <v>0</v>
      </c>
      <c r="F76" s="14" t="str">
        <f t="shared" si="54"/>
        <v/>
      </c>
      <c r="G76" s="356">
        <f>IF(X76="","",X76)</f>
        <v>0</v>
      </c>
      <c r="H76" s="14" t="str">
        <f t="shared" si="55"/>
        <v/>
      </c>
      <c r="I76" s="356">
        <f>IF(Z76="","",Z76)</f>
        <v>0</v>
      </c>
      <c r="J76" s="14" t="str">
        <f t="shared" si="56"/>
        <v/>
      </c>
      <c r="K76" s="356">
        <f>IF(AB76="","",AB76)</f>
        <v>0</v>
      </c>
      <c r="L76" s="14" t="str">
        <f t="shared" si="57"/>
        <v/>
      </c>
      <c r="M76" s="356">
        <f>IF(AD76="","",AD76)</f>
        <v>0</v>
      </c>
      <c r="N76" s="14" t="str">
        <f t="shared" si="58"/>
        <v/>
      </c>
      <c r="O76" s="356">
        <f>IF(AH76="","",AH76)</f>
        <v>0</v>
      </c>
      <c r="R76" s="359"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8"/>
      <c r="B77" s="19" t="str">
        <f>IF(S77=0,"",S77)</f>
        <v/>
      </c>
      <c r="C77" s="20" t="str">
        <f t="shared" si="75"/>
        <v/>
      </c>
      <c r="D77" s="15" t="str">
        <f t="shared" si="75"/>
        <v/>
      </c>
      <c r="E77" s="357"/>
      <c r="F77" s="15" t="str">
        <f t="shared" si="54"/>
        <v/>
      </c>
      <c r="G77" s="357"/>
      <c r="H77" s="15" t="str">
        <f t="shared" si="55"/>
        <v/>
      </c>
      <c r="I77" s="357"/>
      <c r="J77" s="15" t="str">
        <f t="shared" si="56"/>
        <v/>
      </c>
      <c r="K77" s="357"/>
      <c r="L77" s="15" t="str">
        <f t="shared" si="57"/>
        <v/>
      </c>
      <c r="M77" s="357"/>
      <c r="N77" s="15" t="str">
        <f t="shared" si="58"/>
        <v/>
      </c>
      <c r="O77" s="357"/>
      <c r="R77" s="360"/>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6"/>
        <v>Mainauenbowler Bayreuth Land</v>
      </c>
      <c r="BS77" s="222">
        <f t="shared" si="72"/>
        <v>2</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9"/>
      <c r="B78" s="21" t="str">
        <f>IF(S78=0,"",S78)</f>
        <v/>
      </c>
      <c r="C78" s="22" t="str">
        <f t="shared" si="75"/>
        <v/>
      </c>
      <c r="D78" s="9" t="str">
        <f t="shared" si="75"/>
        <v/>
      </c>
      <c r="E78" s="358"/>
      <c r="F78" s="9" t="str">
        <f t="shared" si="54"/>
        <v/>
      </c>
      <c r="G78" s="358"/>
      <c r="H78" s="9" t="str">
        <f t="shared" si="55"/>
        <v/>
      </c>
      <c r="I78" s="358"/>
      <c r="J78" s="9" t="str">
        <f t="shared" si="56"/>
        <v/>
      </c>
      <c r="K78" s="358"/>
      <c r="L78" s="9" t="str">
        <f t="shared" si="57"/>
        <v/>
      </c>
      <c r="M78" s="358"/>
      <c r="N78" s="9" t="str">
        <f t="shared" si="58"/>
        <v/>
      </c>
      <c r="O78" s="358"/>
      <c r="R78" s="361"/>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6"/>
        <v>Mainauenbowler Bayreuth Land</v>
      </c>
      <c r="BS78" s="222">
        <f t="shared" si="72"/>
        <v>1</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t="str">
        <f t="shared" si="75"/>
        <v/>
      </c>
      <c r="E79" s="12">
        <f>IF(V79="","",V79)</f>
        <v>0</v>
      </c>
      <c r="F79" s="16" t="str">
        <f t="shared" si="54"/>
        <v/>
      </c>
      <c r="G79" s="12">
        <f>IF(X79="","",X79)</f>
        <v>0</v>
      </c>
      <c r="H79" s="16" t="str">
        <f t="shared" si="55"/>
        <v/>
      </c>
      <c r="I79" s="12">
        <f>IF(Z79="","",Z79)</f>
        <v>0</v>
      </c>
      <c r="J79" s="16" t="str">
        <f t="shared" si="56"/>
        <v/>
      </c>
      <c r="K79" s="12">
        <f>IF(AB79="","",AB79)</f>
        <v>0</v>
      </c>
      <c r="L79" s="16" t="str">
        <f t="shared" si="57"/>
        <v/>
      </c>
      <c r="M79" s="12">
        <f>IF(AD79="","",AD79)</f>
        <v>0</v>
      </c>
      <c r="N79" s="16" t="str">
        <f t="shared" si="58"/>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0</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54">
        <f t="shared" si="78"/>
        <v>2</v>
      </c>
      <c r="E82" s="354" t="str">
        <f t="shared" si="78"/>
        <v/>
      </c>
      <c r="F82" s="354">
        <f t="shared" si="78"/>
        <v>2</v>
      </c>
      <c r="G82" s="354" t="str">
        <f t="shared" si="78"/>
        <v/>
      </c>
      <c r="H82" s="354">
        <f t="shared" si="78"/>
        <v>2</v>
      </c>
      <c r="I82" s="354" t="str">
        <f t="shared" si="78"/>
        <v/>
      </c>
      <c r="J82" s="354">
        <f t="shared" si="78"/>
        <v>2</v>
      </c>
      <c r="K82" s="354" t="str">
        <f t="shared" si="78"/>
        <v/>
      </c>
      <c r="L82" s="354">
        <f t="shared" si="78"/>
        <v>2</v>
      </c>
      <c r="M82" s="354" t="str">
        <f t="shared" si="78"/>
        <v/>
      </c>
      <c r="N82" s="355"/>
      <c r="O82" s="355"/>
      <c r="S82" s="13" t="s">
        <v>1786</v>
      </c>
      <c r="T82" s="5" t="s">
        <v>1787</v>
      </c>
      <c r="U82" s="373">
        <f>VLOOKUP($S62,Schlüssel!$A$5:$CX$10,83)</f>
        <v>2</v>
      </c>
      <c r="V82" s="374"/>
      <c r="W82" s="373">
        <f>VLOOKUP($S62,Schlüssel!$A$5:$DQ$10,84)</f>
        <v>2</v>
      </c>
      <c r="X82" s="374"/>
      <c r="Y82" s="373">
        <f>VLOOKUP($S62,Schlüssel!$A$5:$DQ$10,85)</f>
        <v>2</v>
      </c>
      <c r="Z82" s="374"/>
      <c r="AA82" s="373">
        <f>VLOOKUP($S62,Schlüssel!$A$5:$DQ$10,86)</f>
        <v>2</v>
      </c>
      <c r="AB82" s="374"/>
      <c r="AC82" s="373">
        <f>VLOOKUP($S62,Schlüssel!$A$5:$DQ$10,87)</f>
        <v>2</v>
      </c>
      <c r="AD82" s="374"/>
      <c r="AE82" s="373">
        <f>VLOOKUP($S62,Schlüssel!$A$5:$DQ$10,88)</f>
        <v>2</v>
      </c>
      <c r="AF82" s="374"/>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K84" si="79">IF(S83=0,"",S83)</f>
        <v/>
      </c>
      <c r="C83" s="1" t="str">
        <f t="shared" si="79"/>
        <v/>
      </c>
      <c r="D83" s="351" t="str">
        <f t="shared" si="79"/>
        <v>BC Phönix Lauf</v>
      </c>
      <c r="E83" s="352" t="str">
        <f t="shared" si="79"/>
        <v/>
      </c>
      <c r="F83" s="351" t="str">
        <f t="shared" si="79"/>
        <v>BC Phönix Lauf</v>
      </c>
      <c r="G83" s="352" t="str">
        <f t="shared" si="79"/>
        <v/>
      </c>
      <c r="H83" s="351" t="str">
        <f t="shared" si="79"/>
        <v>BC Phönix Lauf</v>
      </c>
      <c r="I83" s="352" t="str">
        <f t="shared" si="79"/>
        <v/>
      </c>
      <c r="J83" s="351" t="str">
        <f t="shared" si="79"/>
        <v>BC Phönix Lauf</v>
      </c>
      <c r="K83" s="352" t="str">
        <f t="shared" si="79"/>
        <v/>
      </c>
      <c r="L83" s="351" t="str">
        <f>IF(AC83=0,"",AC83)</f>
        <v>BC Phönix Lauf</v>
      </c>
      <c r="M83" s="352" t="str">
        <f>IF(AD83=0,"",AD83)</f>
        <v/>
      </c>
      <c r="N83" s="353"/>
      <c r="O83" s="353"/>
      <c r="S83" s="4"/>
      <c r="T83" s="1"/>
      <c r="U83" s="351" t="str">
        <f>VLOOKUP(U82,Schlüssel!$A$5:$K$10,2)</f>
        <v>BC Phönix Lauf</v>
      </c>
      <c r="V83" s="352"/>
      <c r="W83" s="351" t="str">
        <f>VLOOKUP(W82,Schlüssel!$A$5:$K$10,2)</f>
        <v>BC Phönix Lauf</v>
      </c>
      <c r="X83" s="352"/>
      <c r="Y83" s="351" t="str">
        <f>VLOOKUP(Y82,Schlüssel!$A$5:$K$10,2)</f>
        <v>BC Phönix Lauf</v>
      </c>
      <c r="Z83" s="352"/>
      <c r="AA83" s="351" t="str">
        <f>VLOOKUP(AA82,Schlüssel!$A$5:$K$10,2)</f>
        <v>BC Phönix Lauf</v>
      </c>
      <c r="AB83" s="352"/>
      <c r="AC83" s="351" t="str">
        <f>VLOOKUP(AC82,Schlüssel!$A$5:$K$10,2)</f>
        <v>BC Phönix Lauf</v>
      </c>
      <c r="AD83" s="352"/>
      <c r="AE83" s="351" t="str">
        <f>VLOOKUP(AE82,Schlüssel!$A$5:$K$10,2)</f>
        <v>BC Phönix Lauf</v>
      </c>
      <c r="AF83" s="35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50" t="str">
        <f t="shared" si="79"/>
        <v/>
      </c>
      <c r="E84" s="350" t="str">
        <f t="shared" si="79"/>
        <v/>
      </c>
      <c r="F84" s="350" t="str">
        <f t="shared" si="79"/>
        <v/>
      </c>
      <c r="G84" s="350" t="str">
        <f t="shared" si="79"/>
        <v/>
      </c>
      <c r="H84" s="350" t="str">
        <f t="shared" si="79"/>
        <v/>
      </c>
      <c r="I84" s="350" t="str">
        <f t="shared" si="79"/>
        <v/>
      </c>
      <c r="J84" s="350" t="str">
        <f t="shared" si="79"/>
        <v/>
      </c>
      <c r="K84" s="350" t="str">
        <f t="shared" si="79"/>
        <v/>
      </c>
      <c r="L84" s="350" t="str">
        <f>IF(AC84=0,"",AC84)</f>
        <v/>
      </c>
      <c r="M84" s="350" t="str">
        <f>IF(AD84=0,"",AD84)</f>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5" t="str">
        <f t="shared" ref="B85:C89" si="80">IF(S85=0,"",S85)</f>
        <v>Spieler 1</v>
      </c>
      <c r="C85" s="376" t="str">
        <f t="shared" si="80"/>
        <v/>
      </c>
      <c r="D85" s="348">
        <f>IF(U85=301,"",U85)</f>
        <v>0</v>
      </c>
      <c r="E85" s="348" t="str">
        <f>IF(V85=0,"",V85)</f>
        <v/>
      </c>
      <c r="F85" s="348">
        <f>IF(W85=301,"",W85)</f>
        <v>0</v>
      </c>
      <c r="G85" s="348" t="str">
        <f>IF(X85=0,"",X85)</f>
        <v/>
      </c>
      <c r="H85" s="348">
        <f>IF(Y85=301,"",Y85)</f>
        <v>0</v>
      </c>
      <c r="I85" s="348" t="str">
        <f>IF(Z85=0,"",Z85)</f>
        <v/>
      </c>
      <c r="J85" s="348">
        <f>IF(AA85=301,"",AA85)</f>
        <v>0</v>
      </c>
      <c r="K85" s="348" t="str">
        <f>IF(AB85=0,"",AB85)</f>
        <v/>
      </c>
      <c r="L85" s="348">
        <f>IF(AC85=301,"",AC85)</f>
        <v>0</v>
      </c>
      <c r="M85" s="348" t="str">
        <f>IF(AD85=0,"",AD85)</f>
        <v/>
      </c>
      <c r="N85" s="349"/>
      <c r="O85" s="349"/>
      <c r="S85" s="35" t="s">
        <v>0</v>
      </c>
      <c r="T85" s="36"/>
      <c r="U85" s="371">
        <f>ABS(INDEX(U:U,MATCH(U82,$S:$S,0)+5)+INDEX(U:U,MATCH(U82,$S:$S,0)+6)+INDEX(U:U,MATCH(U82,$S:$S,0)+7))</f>
        <v>0</v>
      </c>
      <c r="V85" s="372"/>
      <c r="W85" s="371">
        <f>ABS(INDEX(W:W,MATCH(W82,$S:$S,0)+5)+INDEX(W:W,MATCH(W82,$S:$S,0)+6)+INDEX(W:W,MATCH(W82,$S:$S,0)+7))</f>
        <v>0</v>
      </c>
      <c r="X85" s="372"/>
      <c r="Y85" s="371">
        <f>ABS(INDEX(Y:Y,MATCH(Y82,$S:$S,0)+5)+INDEX(Y:Y,MATCH(Y82,$S:$S,0)+6)+INDEX(Y:Y,MATCH(Y82,$S:$S,0)+7))</f>
        <v>0</v>
      </c>
      <c r="Z85" s="372"/>
      <c r="AA85" s="371">
        <f>ABS(INDEX(AA:AA,MATCH(AA82,$S:$S,0)+5)+INDEX(AA:AA,MATCH(AA82,$S:$S,0)+6)+INDEX(AA:AA,MATCH(AA82,$S:$S,0)+7))</f>
        <v>0</v>
      </c>
      <c r="AB85" s="372"/>
      <c r="AC85" s="371">
        <f>ABS(INDEX(AC:AC,MATCH(AC82,$S:$S,0)+5)+INDEX(AC:AC,MATCH(AC82,$S:$S,0)+6)+INDEX(AC:AC,MATCH(AC82,$S:$S,0)+7))</f>
        <v>0</v>
      </c>
      <c r="AD85" s="372"/>
      <c r="AE85" s="371">
        <f>ABS(INDEX(AE:AE,MATCH(AE82,$S:$S,0)+5)+INDEX(AE:AE,MATCH(AE82,$S:$S,0)+6)+INDEX(AE:AE,MATCH(AE82,$S:$S,0)+7))</f>
        <v>0</v>
      </c>
      <c r="AF85" s="372"/>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5" t="str">
        <f t="shared" si="80"/>
        <v>Spieler 2</v>
      </c>
      <c r="C86" s="376" t="str">
        <f t="shared" si="80"/>
        <v/>
      </c>
      <c r="D86" s="348">
        <f>IF(U86=301,"",U86)</f>
        <v>0</v>
      </c>
      <c r="E86" s="348" t="str">
        <f>IF(V86=0,"",V86)</f>
        <v/>
      </c>
      <c r="F86" s="348">
        <f>IF(W86=301,"",W86)</f>
        <v>0</v>
      </c>
      <c r="G86" s="348" t="str">
        <f>IF(X86=0,"",X86)</f>
        <v/>
      </c>
      <c r="H86" s="348">
        <f>IF(Y86=301,"",Y86)</f>
        <v>0</v>
      </c>
      <c r="I86" s="348" t="str">
        <f>IF(Z86=0,"",Z86)</f>
        <v/>
      </c>
      <c r="J86" s="348">
        <f>IF(AA86=301,"",AA86)</f>
        <v>0</v>
      </c>
      <c r="K86" s="348" t="str">
        <f>IF(AB86=0,"",AB86)</f>
        <v/>
      </c>
      <c r="L86" s="348">
        <f>IF(AC86=301,"",AC86)</f>
        <v>0</v>
      </c>
      <c r="M86" s="348" t="str">
        <f>IF(AD86=0,"",AD86)</f>
        <v/>
      </c>
      <c r="N86" s="349"/>
      <c r="O86" s="349"/>
      <c r="S86" s="35" t="s">
        <v>2</v>
      </c>
      <c r="T86" s="36"/>
      <c r="U86" s="369">
        <f>ABS(INDEX(U:U,MATCH(U82,$S:$S,0)+8)+INDEX(U:U,MATCH(U82,$S:$S,0)+9)+INDEX(U:U,MATCH(U82,$S:$S,0)+10))</f>
        <v>0</v>
      </c>
      <c r="V86" s="370"/>
      <c r="W86" s="369">
        <f>ABS(INDEX(W:W,MATCH(W82,$S:$S,0)+8)+INDEX(W:W,MATCH(W82,$S:$S,0)+9)+INDEX(W:W,MATCH(W82,$S:$S,0)+10))</f>
        <v>0</v>
      </c>
      <c r="X86" s="370"/>
      <c r="Y86" s="369">
        <f>ABS(INDEX(Y:Y,MATCH(Y82,$S:$S,0)+8)+INDEX(Y:Y,MATCH(Y82,$S:$S,0)+9)+INDEX(Y:Y,MATCH(Y82,$S:$S,0)+10))</f>
        <v>0</v>
      </c>
      <c r="Z86" s="370"/>
      <c r="AA86" s="369">
        <f>ABS(INDEX(AA:AA,MATCH(AA82,$S:$S,0)+8)+INDEX(AA:AA,MATCH(AA82,$S:$S,0)+9)+INDEX(AA:AA,MATCH(AA82,$S:$S,0)+10))</f>
        <v>0</v>
      </c>
      <c r="AB86" s="370"/>
      <c r="AC86" s="369">
        <f>ABS(INDEX(AC:AC,MATCH(AC82,$S:$S,0)+8)+INDEX(AC:AC,MATCH(AC82,$S:$S,0)+9)+INDEX(AC:AC,MATCH(AC82,$S:$S,0)+10))</f>
        <v>0</v>
      </c>
      <c r="AD86" s="370"/>
      <c r="AE86" s="369">
        <f>ABS(INDEX(AE:AE,MATCH(AE82,$S:$S,0)+8)+INDEX(AE:AE,MATCH(AE82,$S:$S,0)+9)+INDEX(AE:AE,MATCH(AE82,$S:$S,0)+10))</f>
        <v>0</v>
      </c>
      <c r="AF86" s="370"/>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5" t="str">
        <f t="shared" si="80"/>
        <v>Spieler 3</v>
      </c>
      <c r="C87" s="376" t="str">
        <f t="shared" si="80"/>
        <v/>
      </c>
      <c r="D87" s="348">
        <f>IF(U87=301,"",U87)</f>
        <v>0</v>
      </c>
      <c r="E87" s="348" t="str">
        <f>IF(V87=0,"",V87)</f>
        <v/>
      </c>
      <c r="F87" s="348">
        <f>IF(W87=301,"",W87)</f>
        <v>0</v>
      </c>
      <c r="G87" s="348" t="str">
        <f>IF(X87=0,"",X87)</f>
        <v/>
      </c>
      <c r="H87" s="348">
        <f>IF(Y87=301,"",Y87)</f>
        <v>0</v>
      </c>
      <c r="I87" s="348" t="str">
        <f>IF(Z87=0,"",Z87)</f>
        <v/>
      </c>
      <c r="J87" s="348">
        <f>IF(AA87=301,"",AA87)</f>
        <v>0</v>
      </c>
      <c r="K87" s="348" t="str">
        <f>IF(AB87=0,"",AB87)</f>
        <v/>
      </c>
      <c r="L87" s="348">
        <f>IF(AC87=301,"",AC87)</f>
        <v>0</v>
      </c>
      <c r="M87" s="348" t="str">
        <f>IF(AD87=0,"",AD87)</f>
        <v/>
      </c>
      <c r="N87" s="349"/>
      <c r="O87" s="349"/>
      <c r="S87" s="35" t="s">
        <v>3</v>
      </c>
      <c r="T87" s="36"/>
      <c r="U87" s="369">
        <f>ABS(INDEX(U:U,MATCH(U82,$S:$S,0)+11)+INDEX(U:U,MATCH(U82,$S:$S,0)+12)+INDEX(U:U,MATCH(U82,$S:$S,0)+13))</f>
        <v>0</v>
      </c>
      <c r="V87" s="370"/>
      <c r="W87" s="369">
        <f>ABS(INDEX(W:W,MATCH(W82,$S:$S,0)+11)+INDEX(W:W,MATCH(W82,$S:$S,0)+12)+INDEX(W:W,MATCH(W82,$S:$S,0)+13))</f>
        <v>0</v>
      </c>
      <c r="X87" s="370"/>
      <c r="Y87" s="369">
        <f>ABS(INDEX(Y:Y,MATCH(Y82,$S:$S,0)+11)+INDEX(Y:Y,MATCH(Y82,$S:$S,0)+12)+INDEX(Y:Y,MATCH(Y82,$S:$S,0)+13))</f>
        <v>0</v>
      </c>
      <c r="Z87" s="370"/>
      <c r="AA87" s="369">
        <f>ABS(INDEX(AA:AA,MATCH(AA82,$S:$S,0)+11)+INDEX(AA:AA,MATCH(AA82,$S:$S,0)+12)+INDEX(AA:AA,MATCH(AA82,$S:$S,0)+13))</f>
        <v>0</v>
      </c>
      <c r="AB87" s="370"/>
      <c r="AC87" s="369">
        <f>ABS(INDEX(AC:AC,MATCH(AC82,$S:$S,0)+11)+INDEX(AC:AC,MATCH(AC82,$S:$S,0)+12)+INDEX(AC:AC,MATCH(AC82,$S:$S,0)+13))</f>
        <v>0</v>
      </c>
      <c r="AD87" s="370"/>
      <c r="AE87" s="369">
        <f>ABS(INDEX(AE:AE,MATCH(AE82,$S:$S,0)+11)+INDEX(AE:AE,MATCH(AE82,$S:$S,0)+12)+INDEX(AE:AE,MATCH(AE82,$S:$S,0)+13))</f>
        <v>0</v>
      </c>
      <c r="AF87" s="370"/>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5" t="str">
        <f t="shared" si="80"/>
        <v>Spieler 4</v>
      </c>
      <c r="C88" s="376" t="str">
        <f t="shared" si="80"/>
        <v/>
      </c>
      <c r="D88" s="348">
        <f>IF(U88=301,"",U88)</f>
        <v>0</v>
      </c>
      <c r="E88" s="348" t="str">
        <f>IF(V88=0,"",V88)</f>
        <v/>
      </c>
      <c r="F88" s="348">
        <f>IF(W88=301,"",W88)</f>
        <v>0</v>
      </c>
      <c r="G88" s="348" t="str">
        <f>IF(X88=0,"",X88)</f>
        <v/>
      </c>
      <c r="H88" s="348">
        <f>IF(Y88=301,"",Y88)</f>
        <v>0</v>
      </c>
      <c r="I88" s="348" t="str">
        <f>IF(Z88=0,"",Z88)</f>
        <v/>
      </c>
      <c r="J88" s="348">
        <f>IF(AA88=301,"",AA88)</f>
        <v>0</v>
      </c>
      <c r="K88" s="348" t="str">
        <f>IF(AB88=0,"",AB88)</f>
        <v/>
      </c>
      <c r="L88" s="348">
        <f>IF(AC88=301,"",AC88)</f>
        <v>0</v>
      </c>
      <c r="M88" s="348" t="str">
        <f>IF(AD88=0,"",AD88)</f>
        <v/>
      </c>
      <c r="N88" s="349"/>
      <c r="O88" s="349"/>
      <c r="S88" s="35" t="s">
        <v>11</v>
      </c>
      <c r="T88" s="36"/>
      <c r="U88" s="369">
        <f>ABS(INDEX(U:U,MATCH(U82,$S:$S,0)+14)+INDEX(U:U,MATCH(U82,$S:$S,0)+15)+INDEX(U:U,MATCH(U82,$S:$S,0)+16))</f>
        <v>0</v>
      </c>
      <c r="V88" s="370"/>
      <c r="W88" s="369">
        <f>ABS(INDEX(W:W,MATCH(W82,$S:$S,0)+14)+INDEX(W:W,MATCH(W82,$S:$S,0)+15)+INDEX(W:W,MATCH(W82,$S:$S,0)+16))</f>
        <v>0</v>
      </c>
      <c r="X88" s="370"/>
      <c r="Y88" s="369">
        <f>ABS(INDEX(Y:Y,MATCH(Y82,$S:$S,0)+14)+INDEX(Y:Y,MATCH(Y82,$S:$S,0)+15)+INDEX(Y:Y,MATCH(Y82,$S:$S,0)+16))</f>
        <v>0</v>
      </c>
      <c r="Z88" s="370"/>
      <c r="AA88" s="369">
        <f>ABS(INDEX(AA:AA,MATCH(AA82,$S:$S,0)+14)+INDEX(AA:AA,MATCH(AA82,$S:$S,0)+15)+INDEX(AA:AA,MATCH(AA82,$S:$S,0)+16))</f>
        <v>0</v>
      </c>
      <c r="AB88" s="370"/>
      <c r="AC88" s="369">
        <f>ABS(INDEX(AC:AC,MATCH(AC82,$S:$S,0)+14)+INDEX(AC:AC,MATCH(AC82,$S:$S,0)+15)+INDEX(AC:AC,MATCH(AC82,$S:$S,0)+16))</f>
        <v>0</v>
      </c>
      <c r="AD88" s="370"/>
      <c r="AE88" s="369">
        <f>ABS(INDEX(AE:AE,MATCH(AE82,$S:$S,0)+14)+INDEX(AE:AE,MATCH(AE82,$S:$S,0)+15)+INDEX(AE:AE,MATCH(AE82,$S:$S,0)+16))</f>
        <v>0</v>
      </c>
      <c r="AF88" s="370"/>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3" t="str">
        <f t="shared" si="80"/>
        <v>Gesamt</v>
      </c>
      <c r="C89" s="364" t="str">
        <f t="shared" si="80"/>
        <v/>
      </c>
      <c r="D89" s="347">
        <f>IF(U89=1505,"",U89)</f>
        <v>0</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12"/>
      <c r="O89" s="312"/>
      <c r="S89" s="37" t="s">
        <v>1788</v>
      </c>
      <c r="T89" s="38"/>
      <c r="U89" s="363">
        <f>SUM(U85:U88)</f>
        <v>0</v>
      </c>
      <c r="V89" s="364"/>
      <c r="W89" s="363">
        <f>SUM(W85:W88)</f>
        <v>0</v>
      </c>
      <c r="X89" s="364"/>
      <c r="Y89" s="363">
        <f>SUM(Y85:Y88)</f>
        <v>0</v>
      </c>
      <c r="Z89" s="364"/>
      <c r="AA89" s="363">
        <f>SUM(AA85:AA88)</f>
        <v>0</v>
      </c>
      <c r="AB89" s="364"/>
      <c r="AC89" s="363">
        <f>SUM(AC85:AC88)</f>
        <v>0</v>
      </c>
      <c r="AD89" s="364"/>
      <c r="AE89" s="363">
        <f>SUM(AE85:AE88)</f>
        <v>0</v>
      </c>
      <c r="AF89" s="364"/>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5:AF85"/>
    <mergeCell ref="AE86:AF86"/>
    <mergeCell ref="AE87:AF87"/>
    <mergeCell ref="AE88:AF88"/>
    <mergeCell ref="AE89:AF89"/>
    <mergeCell ref="AE55:AF55"/>
    <mergeCell ref="AE56:AF56"/>
    <mergeCell ref="AE57:AF57"/>
    <mergeCell ref="AE58:AF58"/>
    <mergeCell ref="AE59:AF5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D5:E5"/>
    <mergeCell ref="F5:G5"/>
    <mergeCell ref="H5:I5"/>
    <mergeCell ref="J5:K5"/>
    <mergeCell ref="L5:M5"/>
    <mergeCell ref="P1:R1"/>
    <mergeCell ref="O10:O12"/>
    <mergeCell ref="R10:R12"/>
    <mergeCell ref="O7:O9"/>
    <mergeCell ref="R7:R9"/>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65:O65"/>
    <mergeCell ref="D65:E65"/>
    <mergeCell ref="F65:G65"/>
    <mergeCell ref="H65:I65"/>
    <mergeCell ref="J65:K65"/>
    <mergeCell ref="L65:M65"/>
    <mergeCell ref="P61:R61"/>
    <mergeCell ref="AD61:AH61"/>
    <mergeCell ref="N59:O59"/>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AA5:AB5"/>
    <mergeCell ref="AC5:AD5"/>
    <mergeCell ref="AG5:AH5"/>
    <mergeCell ref="U22:V22"/>
    <mergeCell ref="W22:X22"/>
    <mergeCell ref="Y22:Z22"/>
    <mergeCell ref="AA22:AB22"/>
    <mergeCell ref="AC22:AD22"/>
    <mergeCell ref="AE5:AF5"/>
    <mergeCell ref="AE22:AF22"/>
    <mergeCell ref="U25:V25"/>
    <mergeCell ref="W25:X25"/>
    <mergeCell ref="Y25:Z25"/>
    <mergeCell ref="AA25:AB25"/>
    <mergeCell ref="AC25:AD25"/>
    <mergeCell ref="U26:V26"/>
    <mergeCell ref="W26:X26"/>
    <mergeCell ref="Y26:Z26"/>
    <mergeCell ref="AA26:AB26"/>
    <mergeCell ref="AC26:AD26"/>
    <mergeCell ref="U27:V27"/>
    <mergeCell ref="W27:X27"/>
    <mergeCell ref="Y27:Z27"/>
    <mergeCell ref="AA27:AB27"/>
    <mergeCell ref="AC27:AD27"/>
    <mergeCell ref="U28:V28"/>
    <mergeCell ref="W28:X28"/>
    <mergeCell ref="Y28:Z28"/>
    <mergeCell ref="AA28:AB28"/>
    <mergeCell ref="AC28:AD28"/>
    <mergeCell ref="Y52:Z52"/>
    <mergeCell ref="AA52:AB52"/>
    <mergeCell ref="AC52:AD52"/>
    <mergeCell ref="AE35:AF35"/>
    <mergeCell ref="AE52:AF52"/>
    <mergeCell ref="AC35:AD35"/>
    <mergeCell ref="U55:V55"/>
    <mergeCell ref="W55:X55"/>
    <mergeCell ref="Y55:Z55"/>
    <mergeCell ref="AA55:AB55"/>
    <mergeCell ref="AC55:AD55"/>
    <mergeCell ref="U56:V56"/>
    <mergeCell ref="W56:X56"/>
    <mergeCell ref="Y56:Z56"/>
    <mergeCell ref="AA56:AB56"/>
    <mergeCell ref="AC56:AD56"/>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85:V85"/>
    <mergeCell ref="W85:X85"/>
    <mergeCell ref="Y85:Z85"/>
    <mergeCell ref="AA85:AB85"/>
    <mergeCell ref="AC85:AD85"/>
    <mergeCell ref="U86:V86"/>
    <mergeCell ref="W86:X86"/>
    <mergeCell ref="Y86:Z86"/>
    <mergeCell ref="AA86:AB86"/>
    <mergeCell ref="AC86:AD86"/>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20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F19"/>
  <sheetViews>
    <sheetView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2" t="str">
        <f>Schlüssel!$C$1</f>
        <v>Landesliga Nord Frauen</v>
      </c>
      <c r="B1" s="382"/>
      <c r="C1" s="382" t="s">
        <v>1782</v>
      </c>
      <c r="D1" s="382"/>
      <c r="E1" s="382"/>
      <c r="F1" s="382"/>
      <c r="G1" s="382"/>
      <c r="H1" s="382"/>
      <c r="I1" s="382"/>
      <c r="J1" s="382"/>
      <c r="K1" s="382"/>
      <c r="L1" s="382"/>
      <c r="M1" s="382"/>
      <c r="N1" s="382"/>
      <c r="O1" s="382"/>
      <c r="P1" s="382" t="str">
        <f>+Erfassung5!AD1</f>
        <v>13.04.</v>
      </c>
      <c r="Q1" s="382"/>
      <c r="R1" s="51"/>
      <c r="S1" s="51"/>
      <c r="AA1" s="223" t="s">
        <v>2086</v>
      </c>
    </row>
    <row r="2" spans="1:31" ht="28.5" customHeight="1" x14ac:dyDescent="0.25">
      <c r="A2" s="383" t="str">
        <f>"Saison "&amp;Spielorte!C18&amp;"     -     Spieltag "&amp;Erfassung5!AD2&amp;"     -     "&amp;TEXT(Erfassung5!AD1,"T. MMMM JJJJ")</f>
        <v>Saison 2024/2025     -     Spieltag 5     -     13.04.</v>
      </c>
      <c r="B2" s="383"/>
      <c r="C2" s="383"/>
      <c r="D2" s="383"/>
      <c r="E2" s="383"/>
      <c r="F2" s="383"/>
      <c r="G2" s="383"/>
      <c r="H2" s="383"/>
      <c r="I2" s="383"/>
      <c r="J2" s="383"/>
      <c r="K2" s="383"/>
      <c r="L2" s="383"/>
      <c r="M2" s="383"/>
      <c r="N2" s="383"/>
      <c r="O2" s="383"/>
      <c r="P2" s="383"/>
      <c r="Q2" s="383"/>
      <c r="R2" s="51"/>
      <c r="S2" s="51"/>
    </row>
    <row r="3" spans="1:31" ht="28.5" customHeight="1" x14ac:dyDescent="0.25">
      <c r="A3" s="383" t="str">
        <f>+Erfassung5!V2</f>
        <v>Nürnberg West Bowling</v>
      </c>
      <c r="B3" s="383"/>
      <c r="C3" s="383"/>
      <c r="D3" s="383"/>
      <c r="E3" s="383"/>
      <c r="F3" s="383"/>
      <c r="G3" s="383"/>
      <c r="H3" s="383"/>
      <c r="I3" s="383"/>
      <c r="J3" s="383"/>
      <c r="K3" s="383"/>
      <c r="L3" s="383"/>
      <c r="M3" s="383"/>
      <c r="N3" s="383"/>
      <c r="O3" s="383"/>
      <c r="P3" s="383"/>
      <c r="Q3" s="383"/>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4" t="s">
        <v>1800</v>
      </c>
      <c r="B5" s="393" t="s">
        <v>1801</v>
      </c>
      <c r="C5" s="389" t="s">
        <v>1789</v>
      </c>
      <c r="D5" s="390"/>
      <c r="E5" s="389" t="s">
        <v>1790</v>
      </c>
      <c r="F5" s="390"/>
      <c r="G5" s="389" t="s">
        <v>1791</v>
      </c>
      <c r="H5" s="390"/>
      <c r="I5" s="389" t="s">
        <v>1792</v>
      </c>
      <c r="J5" s="390"/>
      <c r="K5" s="389" t="s">
        <v>1793</v>
      </c>
      <c r="L5" s="390"/>
      <c r="M5" s="395" t="s">
        <v>2088</v>
      </c>
      <c r="N5" s="390"/>
      <c r="O5" s="389" t="s">
        <v>1788</v>
      </c>
      <c r="P5" s="390"/>
      <c r="Q5" s="391" t="s">
        <v>1802</v>
      </c>
      <c r="R5" s="51"/>
      <c r="S5" s="51"/>
    </row>
    <row r="6" spans="1:31" ht="13.8" thickBot="1" x14ac:dyDescent="0.3">
      <c r="A6" s="385"/>
      <c r="B6" s="394"/>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2"/>
      <c r="R6" s="51"/>
      <c r="S6" s="51"/>
      <c r="AA6" s="223" t="s">
        <v>1796</v>
      </c>
      <c r="AB6" s="223" t="s">
        <v>2073</v>
      </c>
      <c r="AC6" s="223" t="s">
        <v>2085</v>
      </c>
      <c r="AD6" s="223" t="s">
        <v>1818</v>
      </c>
      <c r="AE6" s="223" t="s">
        <v>1815</v>
      </c>
    </row>
    <row r="7" spans="1:31" ht="42" customHeight="1" thickBot="1" x14ac:dyDescent="0.3">
      <c r="A7" s="217">
        <v>1</v>
      </c>
      <c r="B7" s="121" t="str">
        <f>INDEX(Erfassung5!$S:$S,MATCH($A7,Erfassung5!$BO:$BO,0)-17)</f>
        <v>Kleeblatt Fürth</v>
      </c>
      <c r="C7" s="99">
        <f>INDEX(Erfassung5!U:U,MATCH($A7,Erfassung5!$BO:$BO,0)-1)</f>
        <v>0</v>
      </c>
      <c r="D7" s="100" t="e">
        <f>INDEX(Erfassung5!V:V,MATCH($A7,Erfassung5!$BO:$BO,0))</f>
        <v>#N/A</v>
      </c>
      <c r="E7" s="99">
        <f>INDEX(Erfassung5!W:W,MATCH($A7,Erfassung5!$BO:$BO,0)-1)</f>
        <v>0</v>
      </c>
      <c r="F7" s="100" t="e">
        <f>INDEX(Erfassung5!X:X,MATCH($A7,Erfassung5!$BO:$BO,0))</f>
        <v>#N/A</v>
      </c>
      <c r="G7" s="99">
        <f>INDEX(Erfassung5!Y:Y,MATCH($A7,Erfassung5!$BO:$BO,0)-1)</f>
        <v>0</v>
      </c>
      <c r="H7" s="100" t="e">
        <f>INDEX(Erfassung5!Z:Z,MATCH($A7,Erfassung5!$BO:$BO,0))</f>
        <v>#N/A</v>
      </c>
      <c r="I7" s="99">
        <f>INDEX(Erfassung5!AA:AA,MATCH($A7,Erfassung5!$BO:$BO,0)-1)</f>
        <v>0</v>
      </c>
      <c r="J7" s="100" t="e">
        <f>INDEX(Erfassung5!AB:AB,MATCH($A7,Erfassung5!$BO:$BO,0))</f>
        <v>#N/A</v>
      </c>
      <c r="K7" s="99">
        <f>INDEX(Erfassung5!AC:AC,MATCH($A7,Erfassung5!$BO:$BO,0)-1)</f>
        <v>0</v>
      </c>
      <c r="L7" s="100" t="e">
        <f>INDEX(Erfassung5!AD:AD,MATCH($A7,Erfassung5!$BO:$BO,0))</f>
        <v>#N/A</v>
      </c>
      <c r="M7" s="99">
        <f>INDEX(Erfassung5!AE:AE,MATCH($A7,Erfassung5!$BO:$BO,0)-1)</f>
        <v>0</v>
      </c>
      <c r="N7" s="100" t="e">
        <f>INDEX(Erfassung5!AF:AF,MATCH($A7,Erfassung5!$BO:$BO,0))</f>
        <v>#N/A</v>
      </c>
      <c r="O7" s="101">
        <f t="shared" ref="O7:P9" si="0">SUM(C7+E7+G7+I7+K7+M7)</f>
        <v>0</v>
      </c>
      <c r="P7" s="102" t="e">
        <f t="shared" si="0"/>
        <v>#N/A</v>
      </c>
      <c r="Q7" s="75">
        <f>IFERROR(O7/INDEX(Erfassung5!BF:BF,MATCH(A7,Erfassung5!BO:BO,0)),0)</f>
        <v>0</v>
      </c>
      <c r="R7" s="122"/>
      <c r="S7" s="51"/>
      <c r="AA7" s="221" t="e">
        <f>INDEX(TabGes4!K:K,MATCH(B7,TabGes4!B:B,0))+O7</f>
        <v>#N/A</v>
      </c>
      <c r="AB7" s="221">
        <f>IFERROR(INDEX(TabGes4!L:L,MATCH(B7,TabGes4!B:B,0)),0)+IFERROR(P7,0)</f>
        <v>0</v>
      </c>
      <c r="AC7" s="223" t="e">
        <f>+AB7+AA7/1000000000</f>
        <v>#N/A</v>
      </c>
      <c r="AD7" s="223" t="e">
        <f>RANK(AC7,AC:AC)</f>
        <v>#N/A</v>
      </c>
      <c r="AE7" s="223">
        <f>INDEX(Tabelle4!AE:AE,MATCH(B7,Tabelle4!B:B,0))+SUMIF(Erfassung5!BR:BR,B7,Erfassung5!BF:BF)</f>
        <v>73</v>
      </c>
    </row>
    <row r="8" spans="1:31" ht="42" customHeight="1" thickBot="1" x14ac:dyDescent="0.3">
      <c r="A8" s="217">
        <v>2</v>
      </c>
      <c r="B8" s="121" t="e">
        <f>INDEX(Erfassung5!$S:$S,MATCH($A8,Erfassung5!$BO:$BO,0)-17)</f>
        <v>#N/A</v>
      </c>
      <c r="C8" s="99" t="e">
        <f>INDEX(Erfassung5!U:U,MATCH($A8,Erfassung5!$BO:$BO,0)-1)</f>
        <v>#N/A</v>
      </c>
      <c r="D8" s="100" t="e">
        <f>INDEX(Erfassung5!V:V,MATCH($A8,Erfassung5!$BO:$BO,0))</f>
        <v>#N/A</v>
      </c>
      <c r="E8" s="99" t="e">
        <f>INDEX(Erfassung5!W:W,MATCH($A8,Erfassung5!$BO:$BO,0)-1)</f>
        <v>#N/A</v>
      </c>
      <c r="F8" s="100" t="e">
        <f>INDEX(Erfassung5!X:X,MATCH($A8,Erfassung5!$BO:$BO,0))</f>
        <v>#N/A</v>
      </c>
      <c r="G8" s="99" t="e">
        <f>INDEX(Erfassung5!Y:Y,MATCH($A8,Erfassung5!$BO:$BO,0)-1)</f>
        <v>#N/A</v>
      </c>
      <c r="H8" s="100" t="e">
        <f>INDEX(Erfassung5!Z:Z,MATCH($A8,Erfassung5!$BO:$BO,0))</f>
        <v>#N/A</v>
      </c>
      <c r="I8" s="99" t="e">
        <f>INDEX(Erfassung5!AA:AA,MATCH($A8,Erfassung5!$BO:$BO,0)-1)</f>
        <v>#N/A</v>
      </c>
      <c r="J8" s="100" t="e">
        <f>INDEX(Erfassung5!AB:AB,MATCH($A8,Erfassung5!$BO:$BO,0))</f>
        <v>#N/A</v>
      </c>
      <c r="K8" s="99" t="e">
        <f>INDEX(Erfassung5!AC:AC,MATCH($A8,Erfassung5!$BO:$BO,0)-1)</f>
        <v>#N/A</v>
      </c>
      <c r="L8" s="100" t="e">
        <f>INDEX(Erfassung5!AD:AD,MATCH($A8,Erfassung5!$BO:$BO,0))</f>
        <v>#N/A</v>
      </c>
      <c r="M8" s="99" t="e">
        <f>INDEX(Erfassung5!AE:AE,MATCH($A8,Erfassung5!$BO:$BO,0)-1)</f>
        <v>#N/A</v>
      </c>
      <c r="N8" s="100" t="e">
        <f>INDEX(Erfassung5!AF:AF,MATCH($A8,Erfassung5!$BO:$BO,0))</f>
        <v>#N/A</v>
      </c>
      <c r="O8" s="101" t="e">
        <f t="shared" si="0"/>
        <v>#N/A</v>
      </c>
      <c r="P8" s="102" t="e">
        <f t="shared" si="0"/>
        <v>#N/A</v>
      </c>
      <c r="Q8" s="75">
        <f>IFERROR(O8/INDEX(Erfassung5!BF:BF,MATCH(A8,Erfassung5!BO:BO,0)),0)</f>
        <v>0</v>
      </c>
      <c r="R8" s="122"/>
      <c r="S8" s="51"/>
      <c r="AA8" s="221" t="e">
        <f>INDEX(TabGes4!K:K,MATCH(B8,TabGes4!B:B,0))+O8</f>
        <v>#N/A</v>
      </c>
      <c r="AB8" s="221">
        <f>IFERROR(INDEX(TabGes4!L:L,MATCH(B8,TabGes4!B:B,0)),0)+IFERROR(P8,0)</f>
        <v>0</v>
      </c>
      <c r="AC8" s="223" t="e">
        <f>+AB8+AA8/1000000000</f>
        <v>#N/A</v>
      </c>
      <c r="AD8" s="223" t="e">
        <f>RANK(AC8,AC:AC)</f>
        <v>#N/A</v>
      </c>
      <c r="AE8" s="223" t="e">
        <f>INDEX(Tabelle4!AE:AE,MATCH(B8,Tabelle4!B:B,0))+SUMIF(Erfassung5!BR:BR,B8,Erfassung5!BF:BF)</f>
        <v>#N/A</v>
      </c>
    </row>
    <row r="9" spans="1:31" ht="42" hidden="1" customHeight="1" thickBot="1" x14ac:dyDescent="0.3">
      <c r="A9" s="217">
        <v>3</v>
      </c>
      <c r="B9" s="121" t="e">
        <f>INDEX(Erfassung5!$S:$S,MATCH($A9,Erfassung5!$BO:$BO,0)-17)</f>
        <v>#N/A</v>
      </c>
      <c r="C9" s="99" t="e">
        <f>INDEX(Erfassung5!U:U,MATCH($A9,Erfassung5!$BO:$BO,0)-1)</f>
        <v>#N/A</v>
      </c>
      <c r="D9" s="100" t="e">
        <f>INDEX(Erfassung5!V:V,MATCH($A9,Erfassung5!$BO:$BO,0))</f>
        <v>#N/A</v>
      </c>
      <c r="E9" s="99" t="e">
        <f>INDEX(Erfassung5!W:W,MATCH($A9,Erfassung5!$BO:$BO,0)-1)</f>
        <v>#N/A</v>
      </c>
      <c r="F9" s="100" t="e">
        <f>INDEX(Erfassung5!X:X,MATCH($A9,Erfassung5!$BO:$BO,0))</f>
        <v>#N/A</v>
      </c>
      <c r="G9" s="99" t="e">
        <f>INDEX(Erfassung5!Y:Y,MATCH($A9,Erfassung5!$BO:$BO,0)-1)</f>
        <v>#N/A</v>
      </c>
      <c r="H9" s="100" t="e">
        <f>INDEX(Erfassung5!Z:Z,MATCH($A9,Erfassung5!$BO:$BO,0))</f>
        <v>#N/A</v>
      </c>
      <c r="I9" s="99" t="e">
        <f>INDEX(Erfassung5!AA:AA,MATCH($A9,Erfassung5!$BO:$BO,0)-1)</f>
        <v>#N/A</v>
      </c>
      <c r="J9" s="100" t="e">
        <f>INDEX(Erfassung5!AB:AB,MATCH($A9,Erfassung5!$BO:$BO,0))</f>
        <v>#N/A</v>
      </c>
      <c r="K9" s="99" t="e">
        <f>INDEX(Erfassung5!AC:AC,MATCH($A9,Erfassung5!$BO:$BO,0)-1)</f>
        <v>#N/A</v>
      </c>
      <c r="L9" s="100" t="e">
        <f>INDEX(Erfassung5!AD:AD,MATCH($A9,Erfassung5!$BO:$BO,0))</f>
        <v>#N/A</v>
      </c>
      <c r="M9" s="99" t="e">
        <f>INDEX(Erfassung5!AE:AE,MATCH($A9,Erfassung5!$BO:$BO,0)-1)</f>
        <v>#N/A</v>
      </c>
      <c r="N9" s="100" t="e">
        <f>INDEX(Erfassung5!AF:AF,MATCH($A9,Erfassung5!$BO:$BO,0))</f>
        <v>#N/A</v>
      </c>
      <c r="O9" s="101" t="e">
        <f t="shared" si="0"/>
        <v>#N/A</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t="e">
        <f>INDEX(Tabelle4!AE:AE,MATCH(B9,Tabelle4!B:B,0))+SUMIF(Erfassung5!BR:BR,B9,Erfassung5!BF:BF)</f>
        <v>#N/A</v>
      </c>
    </row>
    <row r="12" spans="1:31" ht="15.6" x14ac:dyDescent="0.3">
      <c r="B12" s="388" t="s">
        <v>1812</v>
      </c>
      <c r="C12" s="388"/>
      <c r="D12" s="388"/>
      <c r="E12" s="388"/>
      <c r="F12" s="388"/>
      <c r="G12" s="388"/>
      <c r="H12" s="388"/>
      <c r="I12" s="388"/>
      <c r="J12" s="388"/>
      <c r="K12" s="388"/>
      <c r="L12" s="388"/>
      <c r="M12" s="388"/>
      <c r="N12" s="388"/>
      <c r="O12" s="388"/>
      <c r="P12" s="388"/>
      <c r="Q12" s="388"/>
      <c r="R12" s="106"/>
      <c r="S12" s="106"/>
    </row>
    <row r="13" spans="1:31" x14ac:dyDescent="0.25">
      <c r="C13" s="386"/>
      <c r="D13" s="386"/>
      <c r="E13" s="386"/>
      <c r="F13" s="386"/>
      <c r="G13" s="386"/>
      <c r="H13" s="386"/>
    </row>
    <row r="14" spans="1:31" x14ac:dyDescent="0.25">
      <c r="B14" s="106" t="s">
        <v>1813</v>
      </c>
      <c r="C14" t="str">
        <f>IFERROR(INDEX(Erfassung5!S:S,MATCH(1,Erfassung5!BS:BS,0)),"")</f>
        <v/>
      </c>
      <c r="H14" t="str">
        <f>INDEX(Erfassung5!BR:BR,MATCH(C14,Erfassung5!S:S,0))</f>
        <v>Kleeblatt Fürth</v>
      </c>
      <c r="N14" s="104">
        <f>IFERROR(ROUND(INDEX(Erfassung5!BQ:BQ,MATCH(1,Erfassung5!BS:BS,0)),0),"")</f>
        <v>0</v>
      </c>
    </row>
    <row r="15" spans="1:31" x14ac:dyDescent="0.25">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5">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5">
      <c r="B17" s="106" t="s">
        <v>1814</v>
      </c>
      <c r="C17" t="str">
        <f>IFERROR(INDEX(Erfassung5!S:S,MATCH(1,Erfassung5!BW:BW,0)),"")</f>
        <v/>
      </c>
      <c r="H17" t="str">
        <f>INDEX(Erfassung5!BR:BR,MATCH(C17,Erfassung5!S:S,0))</f>
        <v>Kleeblatt Fürth</v>
      </c>
      <c r="N17" s="387" t="str">
        <f>IFERROR(ROUND(INDEX(Erfassung5!BT:BT,MATCH(1,Erfassung5!BW:BW,0)),0),"")&amp;"  /  "&amp;ROUND(IFERROR(ROUND(INDEX(Erfassung5!BT:BT,MATCH(1,Erfassung5!BW:BW,0)),0),"")/6,2)</f>
        <v>0  /  0</v>
      </c>
      <c r="O17" s="387"/>
      <c r="R17" s="92"/>
    </row>
    <row r="18" spans="2:18" x14ac:dyDescent="0.25">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5">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pageSetUpPr fitToPage="1"/>
  </sheetPr>
  <dimension ref="A1:P9"/>
  <sheetViews>
    <sheetView topLeftCell="B1" workbookViewId="0">
      <selection activeCell="A9" sqref="A9:IV9"/>
    </sheetView>
  </sheetViews>
  <sheetFormatPr baseColWidth="10" defaultRowHeight="13.2" x14ac:dyDescent="0.25"/>
  <cols>
    <col min="1" max="1" width="4.109375" customWidth="1"/>
    <col min="2" max="2" width="18.44140625" customWidth="1"/>
    <col min="3" max="12" width="8.5546875" customWidth="1"/>
    <col min="13" max="13" width="13.44140625" customWidth="1"/>
    <col min="14" max="14" width="9.44140625" customWidth="1"/>
    <col min="16" max="16" width="6.44140625" customWidth="1"/>
  </cols>
  <sheetData>
    <row r="1" spans="1:16" ht="28.5" customHeight="1" x14ac:dyDescent="0.25">
      <c r="A1" s="399" t="str">
        <f>Schlüssel!$C$1</f>
        <v>Landesliga Nord Frauen</v>
      </c>
      <c r="B1" s="399"/>
      <c r="C1" s="399"/>
      <c r="D1" s="399"/>
      <c r="E1" s="399"/>
      <c r="F1" s="399"/>
      <c r="G1" s="399"/>
      <c r="H1" s="399"/>
      <c r="I1" s="399"/>
      <c r="J1" s="399"/>
      <c r="K1" s="399"/>
      <c r="L1" s="399"/>
      <c r="M1" s="399"/>
      <c r="N1" s="399"/>
      <c r="O1" s="399"/>
    </row>
    <row r="2" spans="1:16" ht="28.5" customHeight="1" x14ac:dyDescent="0.25">
      <c r="A2" s="383" t="str">
        <f>"Saison "&amp;Spielorte!C18&amp;"     -     Spieltag "&amp;Erfassung5!AD2&amp;"     -     "&amp;TEXT(Erfassung5!AD1,"T. MMMM JJJJ")</f>
        <v>Saison 2024/2025     -     Spieltag 5     -     13.04.</v>
      </c>
      <c r="B2" s="383"/>
      <c r="C2" s="383"/>
      <c r="D2" s="383"/>
      <c r="E2" s="383"/>
      <c r="F2" s="383"/>
      <c r="G2" s="383"/>
      <c r="H2" s="383"/>
      <c r="I2" s="383"/>
      <c r="J2" s="383"/>
      <c r="K2" s="383"/>
      <c r="L2" s="383"/>
      <c r="M2" s="383"/>
      <c r="N2" s="383"/>
      <c r="O2" s="383"/>
    </row>
    <row r="3" spans="1:16" ht="28.5" customHeight="1" x14ac:dyDescent="0.25">
      <c r="A3" s="382" t="s">
        <v>1859</v>
      </c>
      <c r="B3" s="382"/>
      <c r="C3" s="382"/>
      <c r="D3" s="382"/>
      <c r="E3" s="382"/>
      <c r="F3" s="382"/>
      <c r="G3" s="382"/>
      <c r="H3" s="382"/>
      <c r="I3" s="382"/>
      <c r="J3" s="382"/>
      <c r="K3" s="382"/>
      <c r="L3" s="382"/>
      <c r="M3" s="382"/>
      <c r="N3" s="382"/>
      <c r="O3" s="382"/>
    </row>
    <row r="4" spans="1:16" ht="28.5" customHeight="1" thickBot="1" x14ac:dyDescent="0.3">
      <c r="A4" s="218"/>
      <c r="B4" s="218"/>
      <c r="C4" s="87"/>
      <c r="D4" s="219"/>
      <c r="E4" s="219"/>
      <c r="F4" s="219"/>
      <c r="G4" s="219"/>
      <c r="H4" s="219"/>
      <c r="I4" s="219"/>
      <c r="J4" s="219"/>
      <c r="K4" s="219"/>
      <c r="L4" s="219"/>
      <c r="M4" s="219"/>
      <c r="N4" s="88"/>
      <c r="O4" s="162"/>
    </row>
    <row r="5" spans="1:16" x14ac:dyDescent="0.25">
      <c r="A5" s="384" t="s">
        <v>1800</v>
      </c>
      <c r="B5" s="393" t="s">
        <v>1801</v>
      </c>
      <c r="C5" s="389" t="s">
        <v>1804</v>
      </c>
      <c r="D5" s="390"/>
      <c r="E5" s="389" t="s">
        <v>1805</v>
      </c>
      <c r="F5" s="390"/>
      <c r="G5" s="389" t="s">
        <v>1806</v>
      </c>
      <c r="H5" s="390"/>
      <c r="I5" s="395" t="s">
        <v>1807</v>
      </c>
      <c r="J5" s="390"/>
      <c r="K5" s="395" t="s">
        <v>1808</v>
      </c>
      <c r="L5" s="390"/>
      <c r="M5" s="389" t="s">
        <v>1788</v>
      </c>
      <c r="N5" s="390"/>
      <c r="O5" s="391" t="s">
        <v>1802</v>
      </c>
    </row>
    <row r="6" spans="1:16" ht="13.8" thickBot="1" x14ac:dyDescent="0.3">
      <c r="A6" s="385"/>
      <c r="B6" s="394"/>
      <c r="C6" s="73" t="s">
        <v>1796</v>
      </c>
      <c r="D6" s="74" t="s">
        <v>1797</v>
      </c>
      <c r="E6" s="73" t="s">
        <v>1796</v>
      </c>
      <c r="F6" s="74" t="s">
        <v>1797</v>
      </c>
      <c r="G6" s="73" t="s">
        <v>1796</v>
      </c>
      <c r="H6" s="74" t="s">
        <v>1797</v>
      </c>
      <c r="I6" s="73" t="s">
        <v>1796</v>
      </c>
      <c r="J6" s="74" t="s">
        <v>1797</v>
      </c>
      <c r="K6" s="73" t="s">
        <v>1796</v>
      </c>
      <c r="L6" s="74" t="s">
        <v>1797</v>
      </c>
      <c r="M6" s="73" t="s">
        <v>1796</v>
      </c>
      <c r="N6" s="74" t="s">
        <v>1797</v>
      </c>
      <c r="O6" s="392"/>
    </row>
    <row r="7" spans="1:16" ht="42" customHeight="1" thickBot="1" x14ac:dyDescent="0.3">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3">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3">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5</v>
      </c>
      <c r="D2" s="114" t="s">
        <v>1817</v>
      </c>
      <c r="E2" s="115"/>
      <c r="F2" s="116"/>
      <c r="L2" s="108">
        <f>INDEX(Starter!A:A,ROW()-1)</f>
        <v>7860</v>
      </c>
      <c r="M2" s="108">
        <f>SUMIF(Erfassung5!BD:BD,L2,Erfassung5!BE:BE)</f>
        <v>0</v>
      </c>
      <c r="N2" s="108">
        <f>SUMIF(Erfassung5!BD:BD,L2,Erfassung5!BG:BG)</f>
        <v>0</v>
      </c>
      <c r="O2" s="108">
        <f t="shared" ref="O2:O65" si="0">IF(N2=0,0,M2/N2-ROW()/1000000000)</f>
        <v>0</v>
      </c>
      <c r="P2" s="108">
        <f t="shared" ref="P2:P65" si="1">RANK(O2,O:O)</f>
        <v>1</v>
      </c>
    </row>
    <row r="3" spans="1:16" x14ac:dyDescent="0.25">
      <c r="L3" s="108">
        <f>INDEX(Starter!A:A,ROW()-1)</f>
        <v>38735</v>
      </c>
      <c r="M3" s="108">
        <f>SUMIF(Erfassung5!BD:BD,L3,Erfassung5!BE:BE)</f>
        <v>0</v>
      </c>
      <c r="N3" s="108">
        <f>SUMIF(Erfassung5!BD:BD,L3,Erfassung5!BG:BG)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SUMIF(Erfassung5!BD:BD,L4,Erfassung5!BE:BE)</f>
        <v>0</v>
      </c>
      <c r="N4" s="108">
        <f>SUMIF(Erfassung5!BD:BD,L4,Erfassung5!BG:BG)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SUMIF(Erfassung5!BD:BD,L5,Erfassung5!BE:BE)</f>
        <v>0</v>
      </c>
      <c r="N5" s="108">
        <f>SUMIF(Erfassung5!BD:BD,L5,Erfassung5!BG:BG)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SUMIF(Erfassung5!BD:BD,L6,Erfassung5!BE:BE)</f>
        <v>0</v>
      </c>
      <c r="N6" s="108">
        <f>SUMIF(Erfassung5!BD:BD,L6,Erfassung5!BG:BG)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SUMIF(Erfassung5!BD:BD,L7,Erfassung5!BE:BE)</f>
        <v>0</v>
      </c>
      <c r="N7" s="108">
        <f>SUMIF(Erfassung5!BD:BD,L7,Erfassung5!BG:BG)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SUMIF(Erfassung5!BD:BD,L8,Erfassung5!BE:BE)</f>
        <v>0</v>
      </c>
      <c r="N8" s="108">
        <f>SUMIF(Erfassung5!BD:BD,L8,Erfassung5!BG:BG)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SUMIF(Erfassung5!BD:BD,L9,Erfassung5!BE:BE)</f>
        <v>0</v>
      </c>
      <c r="N9" s="108">
        <f>SUMIF(Erfassung5!BD:BD,L9,Erfassung5!BG:BG)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SUMIF(Erfassung5!BD:BD,L10,Erfassung5!BE:BE)</f>
        <v>0</v>
      </c>
      <c r="N10" s="108">
        <f>SUMIF(Erfassung5!BD:BD,L10,Erfassung5!BG:BG)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SUMIF(Erfassung5!BD:BD,L11,Erfassung5!BE:BE)</f>
        <v>0</v>
      </c>
      <c r="N11" s="108">
        <f>SUMIF(Erfassung5!BD:BD,L11,Erfassung5!BG:BG)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SUMIF(Erfassung5!BD:BD,L12,Erfassung5!BE:BE)</f>
        <v>0</v>
      </c>
      <c r="N12" s="108">
        <f>SUMIF(Erfassung5!BD:BD,L12,Erfassung5!BG:BG)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0</v>
      </c>
      <c r="N13" s="108">
        <f>SUMIF(Erfassung5!BD:BD,L13,Erfassung5!BG:BG)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0</v>
      </c>
      <c r="N14" s="108">
        <f>SUMIF(Erfassung5!BD:BD,L14,Erfassung5!BG:BG)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0</v>
      </c>
      <c r="N16" s="108">
        <f>SUMIF(Erfassung5!BD:BD,L16,Erfassung5!BG:BG)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SUMIF(Erfassung5!BD:BD,L19,Erfassung5!BE:BE)</f>
        <v>0</v>
      </c>
      <c r="N19" s="108">
        <f>SUMIF(Erfassung5!BD:BD,L19,Erfassung5!BG:BG)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5</v>
      </c>
      <c r="D2" s="28" t="s">
        <v>1860</v>
      </c>
      <c r="E2" s="170"/>
      <c r="F2" s="171"/>
      <c r="L2" s="108">
        <f>INDEX(Starter!A:A,ROW()-1)</f>
        <v>7860</v>
      </c>
      <c r="M2">
        <f>INDEX(SchnittGes4!M:M,MATCH(L2,SchnittGes4!L:L,0))+INDEX(Schnitt5!M:M,MATCH(L2,Schnitt5!L:L,0))</f>
        <v>981</v>
      </c>
      <c r="N2">
        <f>INDEX(SchnittGes4!N:N,MATCH(L2,SchnittGes4!L:L,0))+INDEX(Schnitt5!N:N,MATCH(L2,Schnitt5!L:L,0))</f>
        <v>6</v>
      </c>
      <c r="O2">
        <f t="shared" ref="O2:O33" si="0">IF(N2=0,0,M2/N2-ROW()/1000000000)</f>
        <v>163.49999999799999</v>
      </c>
      <c r="P2">
        <f t="shared" ref="P2:P33" si="1">RANK(O2,O:O)</f>
        <v>5</v>
      </c>
    </row>
    <row r="3" spans="1:16" x14ac:dyDescent="0.25">
      <c r="L3" s="108">
        <f>INDEX(Starter!A:A,ROW()-1)</f>
        <v>38735</v>
      </c>
      <c r="M3">
        <f>INDEX(SchnittGes4!M:M,MATCH(L3,SchnittGes4!L:L,0))+INDEX(Schnitt5!M:M,MATCH(L3,Schnitt5!L:L,0))</f>
        <v>0</v>
      </c>
      <c r="N3">
        <f>INDEX(SchnittGes4!N:N,MATCH(L3,SchnittGes4!L:L,0))+INDEX(Schnitt5!N:N,MATCH(L3,Schnitt5!L:L,0))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INDEX(SchnittGes4!M:M,MATCH(L4,SchnittGes4!L:L,0))+INDEX(Schnitt5!M:M,MATCH(L4,Schnitt5!L:L,0))</f>
        <v>829</v>
      </c>
      <c r="N4">
        <f>INDEX(SchnittGes4!N:N,MATCH(L4,SchnittGes4!L:L,0))+INDEX(Schnitt5!N:N,MATCH(L4,Schnitt5!L:L,0))</f>
        <v>6</v>
      </c>
      <c r="O4">
        <f t="shared" si="0"/>
        <v>138.16666666266667</v>
      </c>
      <c r="P4">
        <f t="shared" si="1"/>
        <v>14</v>
      </c>
    </row>
    <row r="5" spans="1:16" x14ac:dyDescent="0.25">
      <c r="A5">
        <v>1</v>
      </c>
      <c r="B5">
        <f t="shared" ref="B5:B36" si="2">IFERROR(INDEX(L:L,MATCH(A5,P:P,0)),"")</f>
        <v>7709</v>
      </c>
      <c r="C5" t="str">
        <f>IFERROR(INDEX(Starter!B:B,MATCH(B5,Starter!A:A,0)),"")</f>
        <v>Schuster, Else</v>
      </c>
      <c r="D5" t="str">
        <f>IFERROR(INDEX(Starter!C:C,MATCH(B5,Starter!A:A,0)),"")</f>
        <v>BC Phönix 03 Lauf</v>
      </c>
      <c r="E5" s="92">
        <f t="shared" ref="E5:E36" si="3">IFERROR(INDEX(M:M,MATCH(A5,P:P,0)),"")</f>
        <v>577</v>
      </c>
      <c r="F5">
        <f t="shared" ref="F5:F36" si="4">IFERROR(INDEX(N:N,MATCH(A5,P:P,0)),"")</f>
        <v>3</v>
      </c>
      <c r="G5" s="168">
        <f t="shared" ref="G5:G36" si="5">IFERROR(INDEX(O:O,MATCH(A5,P:P,0)),"")</f>
        <v>192.33333332033334</v>
      </c>
      <c r="L5" s="108">
        <f>INDEX(Starter!A:A,ROW()-1)</f>
        <v>25478</v>
      </c>
      <c r="M5">
        <f>INDEX(SchnittGes4!M:M,MATCH(L5,SchnittGes4!L:L,0))+INDEX(Schnitt5!M:M,MATCH(L5,Schnitt5!L:L,0))</f>
        <v>968</v>
      </c>
      <c r="N5">
        <f>INDEX(SchnittGes4!N:N,MATCH(L5,SchnittGes4!L:L,0))+INDEX(Schnitt5!N:N,MATCH(L5,Schnitt5!L:L,0))</f>
        <v>6</v>
      </c>
      <c r="O5">
        <f t="shared" si="0"/>
        <v>161.33333332833334</v>
      </c>
      <c r="P5">
        <f t="shared" si="1"/>
        <v>6</v>
      </c>
    </row>
    <row r="6" spans="1:16" x14ac:dyDescent="0.25">
      <c r="A6">
        <f t="shared" ref="A6:A37"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INDEX(SchnittGes4!M:M,MATCH(L6,SchnittGes4!L:L,0))+INDEX(Schnitt5!M:M,MATCH(L6,Schnitt5!L:L,0))</f>
        <v>1121</v>
      </c>
      <c r="N6">
        <f>INDEX(SchnittGes4!N:N,MATCH(L6,SchnittGes4!L:L,0))+INDEX(Schnitt5!N:N,MATCH(L6,Schnitt5!L:L,0))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INDEX(SchnittGes4!M:M,MATCH(L7,SchnittGes4!L:L,0))+INDEX(Schnitt5!M:M,MATCH(L7,Schnitt5!L:L,0))</f>
        <v>2253</v>
      </c>
      <c r="N7">
        <f>INDEX(SchnittGes4!N:N,MATCH(L7,SchnittGes4!L:L,0))+INDEX(Schnitt5!N:N,MATCH(L7,Schnitt5!L:L,0))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INDEX(SchnittGes4!M:M,MATCH(L8,SchnittGes4!L:L,0))+INDEX(Schnitt5!M:M,MATCH(L8,Schnitt5!L:L,0))</f>
        <v>2612</v>
      </c>
      <c r="N8">
        <f>INDEX(SchnittGes4!N:N,MATCH(L8,SchnittGes4!L:L,0))+INDEX(Schnitt5!N:N,MATCH(L8,Schnitt5!L:L,0))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INDEX(SchnittGes4!M:M,MATCH(L9,SchnittGes4!L:L,0))+INDEX(Schnitt5!M:M,MATCH(L9,Schnitt5!L:L,0))</f>
        <v>2964</v>
      </c>
      <c r="N9">
        <f>INDEX(SchnittGes4!N:N,MATCH(L9,SchnittGes4!L:L,0))+INDEX(Schnitt5!N:N,MATCH(L9,Schnitt5!L:L,0))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INDEX(SchnittGes4!M:M,MATCH(L10,SchnittGes4!L:L,0))+INDEX(Schnitt5!M:M,MATCH(L10,Schnitt5!L:L,0))</f>
        <v>483</v>
      </c>
      <c r="N10">
        <f>INDEX(SchnittGes4!N:N,MATCH(L10,SchnittGes4!L:L,0))+INDEX(Schnitt5!N:N,MATCH(L10,Schnitt5!L:L,0))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INDEX(SchnittGes4!M:M,MATCH(L11,SchnittGes4!L:L,0))+INDEX(Schnitt5!M:M,MATCH(L11,Schnitt5!L:L,0))</f>
        <v>2695</v>
      </c>
      <c r="N11">
        <f>INDEX(SchnittGes4!N:N,MATCH(L11,SchnittGes4!L:L,0))+INDEX(Schnitt5!N:N,MATCH(L11,Schnitt5!L:L,0))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INDEX(SchnittGes4!M:M,MATCH(L12,SchnittGes4!L:L,0))+INDEX(Schnitt5!M:M,MATCH(L12,Schnitt5!L:L,0))</f>
        <v>0</v>
      </c>
      <c r="N12">
        <f>INDEX(SchnittGes4!N:N,MATCH(L12,SchnittGes4!L:L,0))+INDEX(Schnitt5!N:N,MATCH(L12,Schnitt5!L:L,0))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INDEX(SchnittGes4!M:M,MATCH(L13,SchnittGes4!L:L,0))+INDEX(Schnitt5!M:M,MATCH(L13,Schnitt5!L:L,0))</f>
        <v>577</v>
      </c>
      <c r="N13">
        <f>INDEX(SchnittGes4!N:N,MATCH(L13,SchnittGes4!L:L,0))+INDEX(Schnitt5!N:N,MATCH(L13,Schnitt5!L:L,0))</f>
        <v>3</v>
      </c>
      <c r="O13">
        <f t="shared" si="0"/>
        <v>192.33333332033334</v>
      </c>
      <c r="P13">
        <f t="shared" si="1"/>
        <v>1</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INDEX(SchnittGes4!M:M,MATCH(L14,SchnittGes4!L:L,0))+INDEX(Schnitt5!M:M,MATCH(L14,Schnitt5!L:L,0))</f>
        <v>2071</v>
      </c>
      <c r="N14">
        <f>INDEX(SchnittGes4!N:N,MATCH(L14,SchnittGes4!L:L,0))+INDEX(Schnitt5!N:N,MATCH(L14,Schnitt5!L:L,0))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INDEX(SchnittGes4!M:M,MATCH(L16,SchnittGes4!L:L,0))+INDEX(Schnitt5!M:M,MATCH(L16,Schnitt5!L:L,0))</f>
        <v>1905</v>
      </c>
      <c r="N16">
        <f>INDEX(SchnittGes4!N:N,MATCH(L16,SchnittGes4!L:L,0))+INDEX(Schnitt5!N:N,MATCH(L16,Schnitt5!L:L,0))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13</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INDEX(SchnittGes4!M:M,MATCH(L18,SchnittGes4!L:L,0))+INDEX(Schnitt5!M:M,MATCH(L18,Schnitt5!L:L,0))</f>
        <v>0</v>
      </c>
      <c r="N18">
        <f>INDEX(SchnittGes4!N:N,MATCH(L18,SchnittGes4!L:L,0))+INDEX(Schnitt5!N:N,MATCH(L18,Schnitt5!L:L,0))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INDEX(SchnittGes4!M:M,MATCH(L19,SchnittGes4!L:L,0))+INDEX(Schnitt5!M:M,MATCH(L19,Schnitt5!L:L,0))</f>
        <v>222</v>
      </c>
      <c r="N19">
        <f>INDEX(SchnittGes4!N:N,MATCH(L19,SchnittGes4!L:L,0))+INDEX(Schnitt5!N:N,MATCH(L19,Schnitt5!L:L,0))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32</v>
      </c>
    </row>
    <row r="37" spans="1:16" x14ac:dyDescent="0.25">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110.99999996299999</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33</v>
      </c>
    </row>
    <row r="38" spans="1:16" x14ac:dyDescent="0.25">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110.999999962</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34</v>
      </c>
    </row>
    <row r="39" spans="1:16" x14ac:dyDescent="0.25">
      <c r="A39">
        <f t="shared" si="13"/>
        <v>35</v>
      </c>
      <c r="B39">
        <f t="shared" si="9"/>
        <v>0</v>
      </c>
      <c r="C39" t="str">
        <f>IFERROR(INDEX(Starter!B:B,MATCH(B39,Starter!A:A,0)),"")</f>
        <v/>
      </c>
      <c r="D39" t="str">
        <f>IFERROR(INDEX(Starter!C:C,MATCH(B39,Starter!A:A,0)),"")</f>
        <v/>
      </c>
      <c r="E39" s="92">
        <f t="shared" si="10"/>
        <v>222</v>
      </c>
      <c r="F39">
        <f t="shared" si="11"/>
        <v>2</v>
      </c>
      <c r="G39" s="168">
        <f t="shared" si="12"/>
        <v>110.999999961</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35</v>
      </c>
    </row>
    <row r="40" spans="1:16" x14ac:dyDescent="0.25">
      <c r="A40">
        <f t="shared" si="13"/>
        <v>36</v>
      </c>
      <c r="B40">
        <f t="shared" si="9"/>
        <v>0</v>
      </c>
      <c r="C40" t="str">
        <f>IFERROR(INDEX(Starter!B:B,MATCH(B40,Starter!A:A,0)),"")</f>
        <v/>
      </c>
      <c r="D40" t="str">
        <f>IFERROR(INDEX(Starter!C:C,MATCH(B40,Starter!A:A,0)),"")</f>
        <v/>
      </c>
      <c r="E40" s="92">
        <f t="shared" si="10"/>
        <v>222</v>
      </c>
      <c r="F40">
        <f t="shared" si="11"/>
        <v>2</v>
      </c>
      <c r="G40" s="168">
        <f t="shared" si="12"/>
        <v>110.99999996</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36</v>
      </c>
    </row>
    <row r="41" spans="1:16" x14ac:dyDescent="0.25">
      <c r="A41">
        <f t="shared" si="13"/>
        <v>37</v>
      </c>
      <c r="B41">
        <f t="shared" si="9"/>
        <v>0</v>
      </c>
      <c r="C41" t="str">
        <f>IFERROR(INDEX(Starter!B:B,MATCH(B41,Starter!A:A,0)),"")</f>
        <v/>
      </c>
      <c r="D41" t="str">
        <f>IFERROR(INDEX(Starter!C:C,MATCH(B41,Starter!A:A,0)),"")</f>
        <v/>
      </c>
      <c r="E41" s="92">
        <f t="shared" si="10"/>
        <v>222</v>
      </c>
      <c r="F41">
        <f t="shared" si="11"/>
        <v>2</v>
      </c>
      <c r="G41" s="168">
        <f t="shared" si="12"/>
        <v>110.99999995899999</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37</v>
      </c>
    </row>
    <row r="42" spans="1:16" x14ac:dyDescent="0.25">
      <c r="A42">
        <f t="shared" si="13"/>
        <v>38</v>
      </c>
      <c r="B42">
        <f t="shared" si="9"/>
        <v>0</v>
      </c>
      <c r="C42" t="str">
        <f>IFERROR(INDEX(Starter!B:B,MATCH(B42,Starter!A:A,0)),"")</f>
        <v/>
      </c>
      <c r="D42" t="str">
        <f>IFERROR(INDEX(Starter!C:C,MATCH(B42,Starter!A:A,0)),"")</f>
        <v/>
      </c>
      <c r="E42" s="92">
        <f t="shared" si="10"/>
        <v>222</v>
      </c>
      <c r="F42">
        <f t="shared" si="11"/>
        <v>2</v>
      </c>
      <c r="G42" s="168">
        <f t="shared" si="12"/>
        <v>110.999999958</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38</v>
      </c>
    </row>
    <row r="43" spans="1:16" x14ac:dyDescent="0.25">
      <c r="A43">
        <f t="shared" si="13"/>
        <v>39</v>
      </c>
      <c r="B43">
        <f t="shared" si="9"/>
        <v>0</v>
      </c>
      <c r="C43" t="str">
        <f>IFERROR(INDEX(Starter!B:B,MATCH(B43,Starter!A:A,0)),"")</f>
        <v/>
      </c>
      <c r="D43" t="str">
        <f>IFERROR(INDEX(Starter!C:C,MATCH(B43,Starter!A:A,0)),"")</f>
        <v/>
      </c>
      <c r="E43" s="92">
        <f t="shared" si="10"/>
        <v>222</v>
      </c>
      <c r="F43">
        <f t="shared" si="11"/>
        <v>2</v>
      </c>
      <c r="G43" s="168">
        <f t="shared" si="12"/>
        <v>110.999999957</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39</v>
      </c>
    </row>
    <row r="44" spans="1:16" x14ac:dyDescent="0.25">
      <c r="A44">
        <f t="shared" si="13"/>
        <v>40</v>
      </c>
      <c r="B44">
        <f t="shared" si="9"/>
        <v>0</v>
      </c>
      <c r="C44" t="str">
        <f>IFERROR(INDEX(Starter!B:B,MATCH(B44,Starter!A:A,0)),"")</f>
        <v/>
      </c>
      <c r="D44" t="str">
        <f>IFERROR(INDEX(Starter!C:C,MATCH(B44,Starter!A:A,0)),"")</f>
        <v/>
      </c>
      <c r="E44" s="92">
        <f t="shared" si="10"/>
        <v>222</v>
      </c>
      <c r="F44">
        <f t="shared" si="11"/>
        <v>2</v>
      </c>
      <c r="G44" s="168">
        <f t="shared" si="12"/>
        <v>110.999999956</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40</v>
      </c>
    </row>
    <row r="45" spans="1:16" x14ac:dyDescent="0.25">
      <c r="A45">
        <f t="shared" si="13"/>
        <v>41</v>
      </c>
      <c r="B45">
        <f t="shared" si="9"/>
        <v>0</v>
      </c>
      <c r="C45" t="str">
        <f>IFERROR(INDEX(Starter!B:B,MATCH(B45,Starter!A:A,0)),"")</f>
        <v/>
      </c>
      <c r="D45" t="str">
        <f>IFERROR(INDEX(Starter!C:C,MATCH(B45,Starter!A:A,0)),"")</f>
        <v/>
      </c>
      <c r="E45" s="92">
        <f t="shared" si="10"/>
        <v>222</v>
      </c>
      <c r="F45">
        <f t="shared" si="11"/>
        <v>2</v>
      </c>
      <c r="G45" s="168">
        <f t="shared" si="12"/>
        <v>110.99999995500001</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41</v>
      </c>
    </row>
    <row r="46" spans="1:16" x14ac:dyDescent="0.25">
      <c r="A46">
        <f t="shared" si="13"/>
        <v>42</v>
      </c>
      <c r="B46">
        <f t="shared" si="9"/>
        <v>0</v>
      </c>
      <c r="C46" t="str">
        <f>IFERROR(INDEX(Starter!B:B,MATCH(B46,Starter!A:A,0)),"")</f>
        <v/>
      </c>
      <c r="D46" t="str">
        <f>IFERROR(INDEX(Starter!C:C,MATCH(B46,Starter!A:A,0)),"")</f>
        <v/>
      </c>
      <c r="E46" s="92">
        <f t="shared" si="10"/>
        <v>222</v>
      </c>
      <c r="F46">
        <f t="shared" si="11"/>
        <v>2</v>
      </c>
      <c r="G46" s="168">
        <f t="shared" si="12"/>
        <v>110.999999954</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42</v>
      </c>
    </row>
    <row r="47" spans="1:16" x14ac:dyDescent="0.25">
      <c r="A47">
        <f t="shared" si="13"/>
        <v>43</v>
      </c>
      <c r="B47">
        <f t="shared" si="9"/>
        <v>0</v>
      </c>
      <c r="C47" t="str">
        <f>IFERROR(INDEX(Starter!B:B,MATCH(B47,Starter!A:A,0)),"")</f>
        <v/>
      </c>
      <c r="D47" t="str">
        <f>IFERROR(INDEX(Starter!C:C,MATCH(B47,Starter!A:A,0)),"")</f>
        <v/>
      </c>
      <c r="E47" s="92">
        <f t="shared" si="10"/>
        <v>222</v>
      </c>
      <c r="F47">
        <f t="shared" si="11"/>
        <v>2</v>
      </c>
      <c r="G47" s="168">
        <f t="shared" si="12"/>
        <v>110.999999953</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43</v>
      </c>
    </row>
    <row r="48" spans="1:16" x14ac:dyDescent="0.25">
      <c r="A48">
        <f t="shared" si="13"/>
        <v>44</v>
      </c>
      <c r="B48">
        <f t="shared" si="9"/>
        <v>0</v>
      </c>
      <c r="C48" t="str">
        <f>IFERROR(INDEX(Starter!B:B,MATCH(B48,Starter!A:A,0)),"")</f>
        <v/>
      </c>
      <c r="D48" t="str">
        <f>IFERROR(INDEX(Starter!C:C,MATCH(B48,Starter!A:A,0)),"")</f>
        <v/>
      </c>
      <c r="E48" s="92">
        <f t="shared" si="10"/>
        <v>222</v>
      </c>
      <c r="F48">
        <f t="shared" si="11"/>
        <v>2</v>
      </c>
      <c r="G48" s="168">
        <f t="shared" si="12"/>
        <v>110.999999952</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44</v>
      </c>
    </row>
    <row r="49" spans="1:16" x14ac:dyDescent="0.25">
      <c r="A49">
        <f t="shared" si="13"/>
        <v>45</v>
      </c>
      <c r="B49">
        <f t="shared" si="9"/>
        <v>0</v>
      </c>
      <c r="C49" t="str">
        <f>IFERROR(INDEX(Starter!B:B,MATCH(B49,Starter!A:A,0)),"")</f>
        <v/>
      </c>
      <c r="D49" t="str">
        <f>IFERROR(INDEX(Starter!C:C,MATCH(B49,Starter!A:A,0)),"")</f>
        <v/>
      </c>
      <c r="E49" s="92">
        <f t="shared" si="10"/>
        <v>222</v>
      </c>
      <c r="F49">
        <f t="shared" si="11"/>
        <v>2</v>
      </c>
      <c r="G49" s="168">
        <f t="shared" si="12"/>
        <v>110.99999995100001</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45</v>
      </c>
    </row>
    <row r="50" spans="1:16" x14ac:dyDescent="0.25">
      <c r="A50">
        <f t="shared" si="13"/>
        <v>46</v>
      </c>
      <c r="B50">
        <f t="shared" si="9"/>
        <v>0</v>
      </c>
      <c r="C50" t="str">
        <f>IFERROR(INDEX(Starter!B:B,MATCH(B50,Starter!A:A,0)),"")</f>
        <v/>
      </c>
      <c r="D50" t="str">
        <f>IFERROR(INDEX(Starter!C:C,MATCH(B50,Starter!A:A,0)),"")</f>
        <v/>
      </c>
      <c r="E50" s="92">
        <f t="shared" si="10"/>
        <v>222</v>
      </c>
      <c r="F50">
        <f t="shared" si="11"/>
        <v>2</v>
      </c>
      <c r="G50" s="168">
        <f t="shared" si="12"/>
        <v>110.99999995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46</v>
      </c>
    </row>
    <row r="51" spans="1:16" x14ac:dyDescent="0.25">
      <c r="A51">
        <f t="shared" si="13"/>
        <v>47</v>
      </c>
      <c r="B51">
        <f t="shared" si="9"/>
        <v>0</v>
      </c>
      <c r="C51" t="str">
        <f>IFERROR(INDEX(Starter!B:B,MATCH(B51,Starter!A:A,0)),"")</f>
        <v/>
      </c>
      <c r="D51" t="str">
        <f>IFERROR(INDEX(Starter!C:C,MATCH(B51,Starter!A:A,0)),"")</f>
        <v/>
      </c>
      <c r="E51" s="92">
        <f t="shared" si="10"/>
        <v>222</v>
      </c>
      <c r="F51">
        <f t="shared" si="11"/>
        <v>2</v>
      </c>
      <c r="G51" s="168">
        <f t="shared" si="12"/>
        <v>110.999999949</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47</v>
      </c>
    </row>
    <row r="52" spans="1:16" x14ac:dyDescent="0.25">
      <c r="A52">
        <f t="shared" si="13"/>
        <v>48</v>
      </c>
      <c r="B52">
        <f t="shared" si="9"/>
        <v>0</v>
      </c>
      <c r="C52" t="str">
        <f>IFERROR(INDEX(Starter!B:B,MATCH(B52,Starter!A:A,0)),"")</f>
        <v/>
      </c>
      <c r="D52" t="str">
        <f>IFERROR(INDEX(Starter!C:C,MATCH(B52,Starter!A:A,0)),"")</f>
        <v/>
      </c>
      <c r="E52" s="92">
        <f t="shared" si="10"/>
        <v>222</v>
      </c>
      <c r="F52">
        <f t="shared" si="11"/>
        <v>2</v>
      </c>
      <c r="G52" s="168">
        <f t="shared" si="12"/>
        <v>110.999999948</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48</v>
      </c>
    </row>
    <row r="53" spans="1:16" x14ac:dyDescent="0.25">
      <c r="A53">
        <f t="shared" si="13"/>
        <v>49</v>
      </c>
      <c r="B53">
        <f t="shared" si="9"/>
        <v>0</v>
      </c>
      <c r="C53" t="str">
        <f>IFERROR(INDEX(Starter!B:B,MATCH(B53,Starter!A:A,0)),"")</f>
        <v/>
      </c>
      <c r="D53" t="str">
        <f>IFERROR(INDEX(Starter!C:C,MATCH(B53,Starter!A:A,0)),"")</f>
        <v/>
      </c>
      <c r="E53" s="92">
        <f t="shared" si="10"/>
        <v>222</v>
      </c>
      <c r="F53">
        <f t="shared" si="11"/>
        <v>2</v>
      </c>
      <c r="G53" s="168">
        <f t="shared" si="12"/>
        <v>110.99999994700001</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49</v>
      </c>
    </row>
    <row r="54" spans="1:16" x14ac:dyDescent="0.25">
      <c r="A54">
        <f t="shared" si="13"/>
        <v>50</v>
      </c>
      <c r="B54">
        <f t="shared" si="9"/>
        <v>0</v>
      </c>
      <c r="C54" t="str">
        <f>IFERROR(INDEX(Starter!B:B,MATCH(B54,Starter!A:A,0)),"")</f>
        <v/>
      </c>
      <c r="D54" t="str">
        <f>IFERROR(INDEX(Starter!C:C,MATCH(B54,Starter!A:A,0)),"")</f>
        <v/>
      </c>
      <c r="E54" s="92">
        <f t="shared" si="10"/>
        <v>222</v>
      </c>
      <c r="F54">
        <f t="shared" si="11"/>
        <v>2</v>
      </c>
      <c r="G54" s="168">
        <f t="shared" si="12"/>
        <v>110.999999946</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50</v>
      </c>
    </row>
    <row r="55" spans="1:16" x14ac:dyDescent="0.25">
      <c r="A55">
        <f t="shared" si="13"/>
        <v>51</v>
      </c>
      <c r="B55">
        <f t="shared" si="9"/>
        <v>0</v>
      </c>
      <c r="C55" t="str">
        <f>IFERROR(INDEX(Starter!B:B,MATCH(B55,Starter!A:A,0)),"")</f>
        <v/>
      </c>
      <c r="D55" t="str">
        <f>IFERROR(INDEX(Starter!C:C,MATCH(B55,Starter!A:A,0)),"")</f>
        <v/>
      </c>
      <c r="E55" s="92">
        <f t="shared" si="10"/>
        <v>222</v>
      </c>
      <c r="F55">
        <f t="shared" si="11"/>
        <v>2</v>
      </c>
      <c r="G55" s="168">
        <f t="shared" si="12"/>
        <v>110.999999945</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51</v>
      </c>
    </row>
    <row r="56" spans="1:16" x14ac:dyDescent="0.25">
      <c r="A56">
        <f t="shared" si="13"/>
        <v>52</v>
      </c>
      <c r="B56">
        <f t="shared" si="9"/>
        <v>0</v>
      </c>
      <c r="C56" t="str">
        <f>IFERROR(INDEX(Starter!B:B,MATCH(B56,Starter!A:A,0)),"")</f>
        <v/>
      </c>
      <c r="D56" t="str">
        <f>IFERROR(INDEX(Starter!C:C,MATCH(B56,Starter!A:A,0)),"")</f>
        <v/>
      </c>
      <c r="E56" s="92">
        <f t="shared" si="10"/>
        <v>222</v>
      </c>
      <c r="F56">
        <f t="shared" si="11"/>
        <v>2</v>
      </c>
      <c r="G56" s="168">
        <f t="shared" si="12"/>
        <v>110.999999944</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52</v>
      </c>
    </row>
    <row r="57" spans="1:16" x14ac:dyDescent="0.25">
      <c r="A57">
        <f t="shared" si="13"/>
        <v>53</v>
      </c>
      <c r="B57">
        <f t="shared" si="9"/>
        <v>0</v>
      </c>
      <c r="C57" t="str">
        <f>IFERROR(INDEX(Starter!B:B,MATCH(B57,Starter!A:A,0)),"")</f>
        <v/>
      </c>
      <c r="D57" t="str">
        <f>IFERROR(INDEX(Starter!C:C,MATCH(B57,Starter!A:A,0)),"")</f>
        <v/>
      </c>
      <c r="E57" s="92">
        <f t="shared" si="10"/>
        <v>222</v>
      </c>
      <c r="F57">
        <f t="shared" si="11"/>
        <v>2</v>
      </c>
      <c r="G57" s="168">
        <f t="shared" si="12"/>
        <v>110.99999994300001</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53</v>
      </c>
    </row>
    <row r="58" spans="1:16" x14ac:dyDescent="0.25">
      <c r="A58">
        <f t="shared" si="13"/>
        <v>54</v>
      </c>
      <c r="B58">
        <f t="shared" si="9"/>
        <v>0</v>
      </c>
      <c r="C58" t="str">
        <f>IFERROR(INDEX(Starter!B:B,MATCH(B58,Starter!A:A,0)),"")</f>
        <v/>
      </c>
      <c r="D58" t="str">
        <f>IFERROR(INDEX(Starter!C:C,MATCH(B58,Starter!A:A,0)),"")</f>
        <v/>
      </c>
      <c r="E58" s="92">
        <f t="shared" si="10"/>
        <v>222</v>
      </c>
      <c r="F58">
        <f t="shared" si="11"/>
        <v>2</v>
      </c>
      <c r="G58" s="168">
        <f t="shared" si="12"/>
        <v>110.999999942</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54</v>
      </c>
    </row>
    <row r="59" spans="1:16" x14ac:dyDescent="0.25">
      <c r="A59">
        <f t="shared" si="13"/>
        <v>55</v>
      </c>
      <c r="B59">
        <f t="shared" si="9"/>
        <v>0</v>
      </c>
      <c r="C59" t="str">
        <f>IFERROR(INDEX(Starter!B:B,MATCH(B59,Starter!A:A,0)),"")</f>
        <v/>
      </c>
      <c r="D59" t="str">
        <f>IFERROR(INDEX(Starter!C:C,MATCH(B59,Starter!A:A,0)),"")</f>
        <v/>
      </c>
      <c r="E59" s="92">
        <f t="shared" si="10"/>
        <v>222</v>
      </c>
      <c r="F59">
        <f t="shared" si="11"/>
        <v>2</v>
      </c>
      <c r="G59" s="168">
        <f t="shared" si="12"/>
        <v>110.999999941</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55</v>
      </c>
    </row>
    <row r="60" spans="1:16" x14ac:dyDescent="0.25">
      <c r="A60">
        <f t="shared" si="13"/>
        <v>56</v>
      </c>
      <c r="B60">
        <f t="shared" si="9"/>
        <v>0</v>
      </c>
      <c r="C60" t="str">
        <f>IFERROR(INDEX(Starter!B:B,MATCH(B60,Starter!A:A,0)),"")</f>
        <v/>
      </c>
      <c r="D60" t="str">
        <f>IFERROR(INDEX(Starter!C:C,MATCH(B60,Starter!A:A,0)),"")</f>
        <v/>
      </c>
      <c r="E60" s="92">
        <f t="shared" si="10"/>
        <v>222</v>
      </c>
      <c r="F60">
        <f t="shared" si="11"/>
        <v>2</v>
      </c>
      <c r="G60" s="168">
        <f t="shared" si="12"/>
        <v>110.99999994</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56</v>
      </c>
    </row>
    <row r="61" spans="1:16" x14ac:dyDescent="0.25">
      <c r="A61">
        <f t="shared" si="13"/>
        <v>57</v>
      </c>
      <c r="B61">
        <f t="shared" si="9"/>
        <v>0</v>
      </c>
      <c r="C61" t="str">
        <f>IFERROR(INDEX(Starter!B:B,MATCH(B61,Starter!A:A,0)),"")</f>
        <v/>
      </c>
      <c r="D61" t="str">
        <f>IFERROR(INDEX(Starter!C:C,MATCH(B61,Starter!A:A,0)),"")</f>
        <v/>
      </c>
      <c r="E61" s="92">
        <f t="shared" si="10"/>
        <v>222</v>
      </c>
      <c r="F61">
        <f t="shared" si="11"/>
        <v>2</v>
      </c>
      <c r="G61" s="168">
        <f t="shared" si="12"/>
        <v>110.99999993900001</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57</v>
      </c>
    </row>
    <row r="62" spans="1:16" x14ac:dyDescent="0.25">
      <c r="A62">
        <f t="shared" si="13"/>
        <v>58</v>
      </c>
      <c r="B62">
        <f t="shared" si="9"/>
        <v>0</v>
      </c>
      <c r="C62" t="str">
        <f>IFERROR(INDEX(Starter!B:B,MATCH(B62,Starter!A:A,0)),"")</f>
        <v/>
      </c>
      <c r="D62" t="str">
        <f>IFERROR(INDEX(Starter!C:C,MATCH(B62,Starter!A:A,0)),"")</f>
        <v/>
      </c>
      <c r="E62" s="92">
        <f t="shared" si="10"/>
        <v>222</v>
      </c>
      <c r="F62">
        <f t="shared" si="11"/>
        <v>2</v>
      </c>
      <c r="G62" s="168">
        <f t="shared" si="12"/>
        <v>110.999999938</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58</v>
      </c>
    </row>
    <row r="63" spans="1:16" x14ac:dyDescent="0.25">
      <c r="A63">
        <f t="shared" si="13"/>
        <v>59</v>
      </c>
      <c r="B63">
        <f t="shared" si="9"/>
        <v>0</v>
      </c>
      <c r="C63" t="str">
        <f>IFERROR(INDEX(Starter!B:B,MATCH(B63,Starter!A:A,0)),"")</f>
        <v/>
      </c>
      <c r="D63" t="str">
        <f>IFERROR(INDEX(Starter!C:C,MATCH(B63,Starter!A:A,0)),"")</f>
        <v/>
      </c>
      <c r="E63" s="92">
        <f t="shared" si="10"/>
        <v>222</v>
      </c>
      <c r="F63">
        <f t="shared" si="11"/>
        <v>2</v>
      </c>
      <c r="G63" s="168">
        <f t="shared" si="12"/>
        <v>110.999999937</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59</v>
      </c>
    </row>
    <row r="64" spans="1:16" x14ac:dyDescent="0.25">
      <c r="A64">
        <f t="shared" si="13"/>
        <v>60</v>
      </c>
      <c r="B64">
        <f t="shared" si="9"/>
        <v>0</v>
      </c>
      <c r="C64" t="str">
        <f>IFERROR(INDEX(Starter!B:B,MATCH(B64,Starter!A:A,0)),"")</f>
        <v/>
      </c>
      <c r="D64" t="str">
        <f>IFERROR(INDEX(Starter!C:C,MATCH(B64,Starter!A:A,0)),"")</f>
        <v/>
      </c>
      <c r="E64" s="92">
        <f t="shared" si="10"/>
        <v>222</v>
      </c>
      <c r="F64">
        <f t="shared" si="11"/>
        <v>2</v>
      </c>
      <c r="G64" s="168">
        <f t="shared" si="12"/>
        <v>110.99999993599999</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60</v>
      </c>
    </row>
    <row r="65" spans="1:16" x14ac:dyDescent="0.25">
      <c r="A65">
        <f t="shared" si="13"/>
        <v>61</v>
      </c>
      <c r="B65">
        <f t="shared" si="9"/>
        <v>0</v>
      </c>
      <c r="C65" t="str">
        <f>IFERROR(INDEX(Starter!B:B,MATCH(B65,Starter!A:A,0)),"")</f>
        <v/>
      </c>
      <c r="D65" t="str">
        <f>IFERROR(INDEX(Starter!C:C,MATCH(B65,Starter!A:A,0)),"")</f>
        <v/>
      </c>
      <c r="E65" s="92">
        <f t="shared" si="10"/>
        <v>222</v>
      </c>
      <c r="F65">
        <f t="shared" si="11"/>
        <v>2</v>
      </c>
      <c r="G65" s="168">
        <f t="shared" si="12"/>
        <v>110.99999993500001</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61</v>
      </c>
    </row>
    <row r="66" spans="1:16" x14ac:dyDescent="0.25">
      <c r="A66">
        <f t="shared" si="13"/>
        <v>62</v>
      </c>
      <c r="B66">
        <f t="shared" si="9"/>
        <v>0</v>
      </c>
      <c r="C66" t="str">
        <f>IFERROR(INDEX(Starter!B:B,MATCH(B66,Starter!A:A,0)),"")</f>
        <v/>
      </c>
      <c r="D66" t="str">
        <f>IFERROR(INDEX(Starter!C:C,MATCH(B66,Starter!A:A,0)),"")</f>
        <v/>
      </c>
      <c r="E66" s="92">
        <f t="shared" si="10"/>
        <v>222</v>
      </c>
      <c r="F66">
        <f t="shared" si="11"/>
        <v>2</v>
      </c>
      <c r="G66" s="168">
        <f t="shared" si="12"/>
        <v>110.999999934</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62</v>
      </c>
    </row>
    <row r="67" spans="1:16" x14ac:dyDescent="0.25">
      <c r="A67">
        <f t="shared" si="13"/>
        <v>63</v>
      </c>
      <c r="B67">
        <f t="shared" si="9"/>
        <v>0</v>
      </c>
      <c r="C67" t="str">
        <f>IFERROR(INDEX(Starter!B:B,MATCH(B67,Starter!A:A,0)),"")</f>
        <v/>
      </c>
      <c r="D67" t="str">
        <f>IFERROR(INDEX(Starter!C:C,MATCH(B67,Starter!A:A,0)),"")</f>
        <v/>
      </c>
      <c r="E67" s="92">
        <f t="shared" si="10"/>
        <v>222</v>
      </c>
      <c r="F67">
        <f t="shared" si="11"/>
        <v>2</v>
      </c>
      <c r="G67" s="168">
        <f t="shared" si="12"/>
        <v>110.999999933</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63</v>
      </c>
    </row>
    <row r="68" spans="1:16" x14ac:dyDescent="0.25">
      <c r="A68">
        <f t="shared" si="13"/>
        <v>64</v>
      </c>
      <c r="B68">
        <f t="shared" si="9"/>
        <v>0</v>
      </c>
      <c r="C68" t="str">
        <f>IFERROR(INDEX(Starter!B:B,MATCH(B68,Starter!A:A,0)),"")</f>
        <v/>
      </c>
      <c r="D68" t="str">
        <f>IFERROR(INDEX(Starter!C:C,MATCH(B68,Starter!A:A,0)),"")</f>
        <v/>
      </c>
      <c r="E68" s="92">
        <f t="shared" si="10"/>
        <v>222</v>
      </c>
      <c r="F68">
        <f t="shared" si="11"/>
        <v>2</v>
      </c>
      <c r="G68" s="168">
        <f t="shared" si="12"/>
        <v>110.99999993199999</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64</v>
      </c>
    </row>
    <row r="69" spans="1:16" x14ac:dyDescent="0.25">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110.999999931</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65</v>
      </c>
    </row>
    <row r="70" spans="1:16" x14ac:dyDescent="0.25">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110.99999993</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66</v>
      </c>
    </row>
    <row r="71" spans="1:16" x14ac:dyDescent="0.25">
      <c r="A71">
        <f t="shared" si="20"/>
        <v>67</v>
      </c>
      <c r="B71">
        <f t="shared" si="16"/>
        <v>0</v>
      </c>
      <c r="C71" t="str">
        <f>IFERROR(INDEX(Starter!B:B,MATCH(B71,Starter!A:A,0)),"")</f>
        <v/>
      </c>
      <c r="D71" t="str">
        <f>IFERROR(INDEX(Starter!C:C,MATCH(B71,Starter!A:A,0)),"")</f>
        <v/>
      </c>
      <c r="E71" s="92">
        <f t="shared" si="17"/>
        <v>222</v>
      </c>
      <c r="F71">
        <f t="shared" si="18"/>
        <v>2</v>
      </c>
      <c r="G71" s="168">
        <f t="shared" si="19"/>
        <v>110.999999929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67</v>
      </c>
    </row>
    <row r="72" spans="1:16" x14ac:dyDescent="0.25">
      <c r="A72">
        <f t="shared" si="20"/>
        <v>68</v>
      </c>
      <c r="B72">
        <f t="shared" si="16"/>
        <v>0</v>
      </c>
      <c r="C72" t="str">
        <f>IFERROR(INDEX(Starter!B:B,MATCH(B72,Starter!A:A,0)),"")</f>
        <v/>
      </c>
      <c r="D72" t="str">
        <f>IFERROR(INDEX(Starter!C:C,MATCH(B72,Starter!A:A,0)),"")</f>
        <v/>
      </c>
      <c r="E72" s="92">
        <f t="shared" si="17"/>
        <v>222</v>
      </c>
      <c r="F72">
        <f t="shared" si="18"/>
        <v>2</v>
      </c>
      <c r="G72" s="168">
        <f t="shared" si="19"/>
        <v>110.99999992799999</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68</v>
      </c>
    </row>
    <row r="73" spans="1:16" x14ac:dyDescent="0.25">
      <c r="A73">
        <f t="shared" si="20"/>
        <v>69</v>
      </c>
      <c r="B73">
        <f t="shared" si="16"/>
        <v>0</v>
      </c>
      <c r="C73" t="str">
        <f>IFERROR(INDEX(Starter!B:B,MATCH(B73,Starter!A:A,0)),"")</f>
        <v/>
      </c>
      <c r="D73" t="str">
        <f>IFERROR(INDEX(Starter!C:C,MATCH(B73,Starter!A:A,0)),"")</f>
        <v/>
      </c>
      <c r="E73" s="92">
        <f t="shared" si="17"/>
        <v>222</v>
      </c>
      <c r="F73">
        <f t="shared" si="18"/>
        <v>2</v>
      </c>
      <c r="G73" s="168">
        <f t="shared" si="19"/>
        <v>110.999999927</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69</v>
      </c>
    </row>
    <row r="74" spans="1:16" x14ac:dyDescent="0.25">
      <c r="A74">
        <f t="shared" si="20"/>
        <v>70</v>
      </c>
      <c r="B74">
        <f t="shared" si="16"/>
        <v>0</v>
      </c>
      <c r="C74" t="str">
        <f>IFERROR(INDEX(Starter!B:B,MATCH(B74,Starter!A:A,0)),"")</f>
        <v/>
      </c>
      <c r="D74" t="str">
        <f>IFERROR(INDEX(Starter!C:C,MATCH(B74,Starter!A:A,0)),"")</f>
        <v/>
      </c>
      <c r="E74" s="92">
        <f t="shared" si="17"/>
        <v>222</v>
      </c>
      <c r="F74">
        <f t="shared" si="18"/>
        <v>2</v>
      </c>
      <c r="G74" s="168">
        <f t="shared" si="19"/>
        <v>110.999999926</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70</v>
      </c>
    </row>
    <row r="75" spans="1:16" x14ac:dyDescent="0.25">
      <c r="A75">
        <f t="shared" si="20"/>
        <v>71</v>
      </c>
      <c r="B75">
        <f t="shared" si="16"/>
        <v>0</v>
      </c>
      <c r="C75" t="str">
        <f>IFERROR(INDEX(Starter!B:B,MATCH(B75,Starter!A:A,0)),"")</f>
        <v/>
      </c>
      <c r="D75" t="str">
        <f>IFERROR(INDEX(Starter!C:C,MATCH(B75,Starter!A:A,0)),"")</f>
        <v/>
      </c>
      <c r="E75" s="92">
        <f t="shared" si="17"/>
        <v>222</v>
      </c>
      <c r="F75">
        <f t="shared" si="18"/>
        <v>2</v>
      </c>
      <c r="G75" s="168">
        <f t="shared" si="19"/>
        <v>110.999999925</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71</v>
      </c>
    </row>
    <row r="76" spans="1:16" x14ac:dyDescent="0.25">
      <c r="A76">
        <f t="shared" si="20"/>
        <v>72</v>
      </c>
      <c r="B76">
        <f t="shared" si="16"/>
        <v>0</v>
      </c>
      <c r="C76" t="str">
        <f>IFERROR(INDEX(Starter!B:B,MATCH(B76,Starter!A:A,0)),"")</f>
        <v/>
      </c>
      <c r="D76" t="str">
        <f>IFERROR(INDEX(Starter!C:C,MATCH(B76,Starter!A:A,0)),"")</f>
        <v/>
      </c>
      <c r="E76" s="92">
        <f t="shared" si="17"/>
        <v>222</v>
      </c>
      <c r="F76">
        <f t="shared" si="18"/>
        <v>2</v>
      </c>
      <c r="G76" s="168">
        <f t="shared" si="19"/>
        <v>110.99999992399999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72</v>
      </c>
    </row>
    <row r="77" spans="1:16" x14ac:dyDescent="0.25">
      <c r="A77">
        <f t="shared" si="20"/>
        <v>73</v>
      </c>
      <c r="B77">
        <f t="shared" si="16"/>
        <v>0</v>
      </c>
      <c r="C77" t="str">
        <f>IFERROR(INDEX(Starter!B:B,MATCH(B77,Starter!A:A,0)),"")</f>
        <v/>
      </c>
      <c r="D77" t="str">
        <f>IFERROR(INDEX(Starter!C:C,MATCH(B77,Starter!A:A,0)),"")</f>
        <v/>
      </c>
      <c r="E77" s="92">
        <f t="shared" si="17"/>
        <v>222</v>
      </c>
      <c r="F77">
        <f t="shared" si="18"/>
        <v>2</v>
      </c>
      <c r="G77" s="168">
        <f t="shared" si="19"/>
        <v>110.999999923</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73</v>
      </c>
    </row>
    <row r="78" spans="1:16" x14ac:dyDescent="0.25">
      <c r="A78">
        <f t="shared" si="20"/>
        <v>74</v>
      </c>
      <c r="B78">
        <f t="shared" si="16"/>
        <v>0</v>
      </c>
      <c r="C78" t="str">
        <f>IFERROR(INDEX(Starter!B:B,MATCH(B78,Starter!A:A,0)),"")</f>
        <v/>
      </c>
      <c r="D78" t="str">
        <f>IFERROR(INDEX(Starter!C:C,MATCH(B78,Starter!A:A,0)),"")</f>
        <v/>
      </c>
      <c r="E78" s="92">
        <f t="shared" si="17"/>
        <v>222</v>
      </c>
      <c r="F78">
        <f t="shared" si="18"/>
        <v>2</v>
      </c>
      <c r="G78" s="168">
        <f t="shared" si="19"/>
        <v>110.999999922</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74</v>
      </c>
    </row>
    <row r="79" spans="1:16" x14ac:dyDescent="0.25">
      <c r="A79">
        <f t="shared" si="20"/>
        <v>75</v>
      </c>
      <c r="B79">
        <f t="shared" si="16"/>
        <v>0</v>
      </c>
      <c r="C79" t="str">
        <f>IFERROR(INDEX(Starter!B:B,MATCH(B79,Starter!A:A,0)),"")</f>
        <v/>
      </c>
      <c r="D79" t="str">
        <f>IFERROR(INDEX(Starter!C:C,MATCH(B79,Starter!A:A,0)),"")</f>
        <v/>
      </c>
      <c r="E79" s="92">
        <f t="shared" si="17"/>
        <v>222</v>
      </c>
      <c r="F79">
        <f t="shared" si="18"/>
        <v>2</v>
      </c>
      <c r="G79" s="168">
        <f t="shared" si="19"/>
        <v>110.999999921</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75</v>
      </c>
    </row>
    <row r="80" spans="1:16" x14ac:dyDescent="0.25">
      <c r="A80">
        <f t="shared" si="20"/>
        <v>76</v>
      </c>
      <c r="B80">
        <f t="shared" si="16"/>
        <v>0</v>
      </c>
      <c r="C80" t="str">
        <f>IFERROR(INDEX(Starter!B:B,MATCH(B80,Starter!A:A,0)),"")</f>
        <v/>
      </c>
      <c r="D80" t="str">
        <f>IFERROR(INDEX(Starter!C:C,MATCH(B80,Starter!A:A,0)),"")</f>
        <v/>
      </c>
      <c r="E80" s="92">
        <f t="shared" si="17"/>
        <v>222</v>
      </c>
      <c r="F80">
        <f t="shared" si="18"/>
        <v>2</v>
      </c>
      <c r="G80" s="168">
        <f t="shared" si="19"/>
        <v>110.99999991999999</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76</v>
      </c>
    </row>
    <row r="81" spans="1:16" x14ac:dyDescent="0.25">
      <c r="A81">
        <f t="shared" si="20"/>
        <v>77</v>
      </c>
      <c r="B81">
        <f t="shared" si="16"/>
        <v>0</v>
      </c>
      <c r="C81" t="str">
        <f>IFERROR(INDEX(Starter!B:B,MATCH(B81,Starter!A:A,0)),"")</f>
        <v/>
      </c>
      <c r="D81" t="str">
        <f>IFERROR(INDEX(Starter!C:C,MATCH(B81,Starter!A:A,0)),"")</f>
        <v/>
      </c>
      <c r="E81" s="92">
        <f t="shared" si="17"/>
        <v>222</v>
      </c>
      <c r="F81">
        <f t="shared" si="18"/>
        <v>2</v>
      </c>
      <c r="G81" s="168">
        <f t="shared" si="19"/>
        <v>110.999999919</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77</v>
      </c>
    </row>
    <row r="82" spans="1:16" x14ac:dyDescent="0.25">
      <c r="A82">
        <f t="shared" si="20"/>
        <v>78</v>
      </c>
      <c r="B82">
        <f t="shared" si="16"/>
        <v>0</v>
      </c>
      <c r="C82" t="str">
        <f>IFERROR(INDEX(Starter!B:B,MATCH(B82,Starter!A:A,0)),"")</f>
        <v/>
      </c>
      <c r="D82" t="str">
        <f>IFERROR(INDEX(Starter!C:C,MATCH(B82,Starter!A:A,0)),"")</f>
        <v/>
      </c>
      <c r="E82" s="92">
        <f t="shared" si="17"/>
        <v>222</v>
      </c>
      <c r="F82">
        <f t="shared" si="18"/>
        <v>2</v>
      </c>
      <c r="G82" s="168">
        <f t="shared" si="19"/>
        <v>110.999999918</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78</v>
      </c>
    </row>
    <row r="83" spans="1:16" x14ac:dyDescent="0.25">
      <c r="A83">
        <f t="shared" si="20"/>
        <v>79</v>
      </c>
      <c r="B83">
        <f t="shared" si="16"/>
        <v>0</v>
      </c>
      <c r="C83" t="str">
        <f>IFERROR(INDEX(Starter!B:B,MATCH(B83,Starter!A:A,0)),"")</f>
        <v/>
      </c>
      <c r="D83" t="str">
        <f>IFERROR(INDEX(Starter!C:C,MATCH(B83,Starter!A:A,0)),"")</f>
        <v/>
      </c>
      <c r="E83" s="92">
        <f t="shared" si="17"/>
        <v>222</v>
      </c>
      <c r="F83">
        <f t="shared" si="18"/>
        <v>2</v>
      </c>
      <c r="G83" s="168">
        <f t="shared" si="19"/>
        <v>110.999999917</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79</v>
      </c>
    </row>
    <row r="84" spans="1:16" x14ac:dyDescent="0.25">
      <c r="A84">
        <f t="shared" si="20"/>
        <v>80</v>
      </c>
      <c r="B84">
        <f t="shared" si="16"/>
        <v>0</v>
      </c>
      <c r="C84" t="str">
        <f>IFERROR(INDEX(Starter!B:B,MATCH(B84,Starter!A:A,0)),"")</f>
        <v/>
      </c>
      <c r="D84" t="str">
        <f>IFERROR(INDEX(Starter!C:C,MATCH(B84,Starter!A:A,0)),"")</f>
        <v/>
      </c>
      <c r="E84" s="92">
        <f t="shared" si="17"/>
        <v>222</v>
      </c>
      <c r="F84">
        <f t="shared" si="18"/>
        <v>2</v>
      </c>
      <c r="G84" s="168">
        <f t="shared" si="19"/>
        <v>110.99999991599999</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80</v>
      </c>
    </row>
    <row r="85" spans="1:16" x14ac:dyDescent="0.25">
      <c r="A85">
        <f t="shared" si="20"/>
        <v>81</v>
      </c>
      <c r="B85">
        <f t="shared" si="16"/>
        <v>0</v>
      </c>
      <c r="C85" t="str">
        <f>IFERROR(INDEX(Starter!B:B,MATCH(B85,Starter!A:A,0)),"")</f>
        <v/>
      </c>
      <c r="D85" t="str">
        <f>IFERROR(INDEX(Starter!C:C,MATCH(B85,Starter!A:A,0)),"")</f>
        <v/>
      </c>
      <c r="E85" s="92">
        <f t="shared" si="17"/>
        <v>222</v>
      </c>
      <c r="F85">
        <f t="shared" si="18"/>
        <v>2</v>
      </c>
      <c r="G85" s="168">
        <f t="shared" si="19"/>
        <v>110.999999915</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81</v>
      </c>
    </row>
    <row r="86" spans="1:16" x14ac:dyDescent="0.25">
      <c r="A86">
        <f t="shared" si="20"/>
        <v>82</v>
      </c>
      <c r="B86">
        <f t="shared" si="16"/>
        <v>0</v>
      </c>
      <c r="C86" t="str">
        <f>IFERROR(INDEX(Starter!B:B,MATCH(B86,Starter!A:A,0)),"")</f>
        <v/>
      </c>
      <c r="D86" t="str">
        <f>IFERROR(INDEX(Starter!C:C,MATCH(B86,Starter!A:A,0)),"")</f>
        <v/>
      </c>
      <c r="E86" s="92">
        <f t="shared" si="17"/>
        <v>222</v>
      </c>
      <c r="F86">
        <f t="shared" si="18"/>
        <v>2</v>
      </c>
      <c r="G86" s="168">
        <f t="shared" si="19"/>
        <v>110.999999914</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82</v>
      </c>
    </row>
    <row r="87" spans="1:16" x14ac:dyDescent="0.25">
      <c r="A87">
        <f t="shared" si="20"/>
        <v>83</v>
      </c>
      <c r="B87">
        <f t="shared" si="16"/>
        <v>0</v>
      </c>
      <c r="C87" t="str">
        <f>IFERROR(INDEX(Starter!B:B,MATCH(B87,Starter!A:A,0)),"")</f>
        <v/>
      </c>
      <c r="D87" t="str">
        <f>IFERROR(INDEX(Starter!C:C,MATCH(B87,Starter!A:A,0)),"")</f>
        <v/>
      </c>
      <c r="E87" s="92">
        <f t="shared" si="17"/>
        <v>222</v>
      </c>
      <c r="F87">
        <f t="shared" si="18"/>
        <v>2</v>
      </c>
      <c r="G87" s="168">
        <f t="shared" si="19"/>
        <v>110.999999913</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83</v>
      </c>
    </row>
    <row r="88" spans="1:16" x14ac:dyDescent="0.25">
      <c r="A88">
        <f t="shared" si="20"/>
        <v>84</v>
      </c>
      <c r="B88">
        <f t="shared" si="16"/>
        <v>0</v>
      </c>
      <c r="C88" t="str">
        <f>IFERROR(INDEX(Starter!B:B,MATCH(B88,Starter!A:A,0)),"")</f>
        <v/>
      </c>
      <c r="D88" t="str">
        <f>IFERROR(INDEX(Starter!C:C,MATCH(B88,Starter!A:A,0)),"")</f>
        <v/>
      </c>
      <c r="E88" s="92">
        <f t="shared" si="17"/>
        <v>222</v>
      </c>
      <c r="F88">
        <f t="shared" si="18"/>
        <v>2</v>
      </c>
      <c r="G88" s="168">
        <f t="shared" si="19"/>
        <v>110.99999991200001</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84</v>
      </c>
    </row>
    <row r="89" spans="1:16" x14ac:dyDescent="0.25">
      <c r="A89">
        <f t="shared" si="20"/>
        <v>85</v>
      </c>
      <c r="B89">
        <f t="shared" si="16"/>
        <v>0</v>
      </c>
      <c r="C89" t="str">
        <f>IFERROR(INDEX(Starter!B:B,MATCH(B89,Starter!A:A,0)),"")</f>
        <v/>
      </c>
      <c r="D89" t="str">
        <f>IFERROR(INDEX(Starter!C:C,MATCH(B89,Starter!A:A,0)),"")</f>
        <v/>
      </c>
      <c r="E89" s="92">
        <f t="shared" si="17"/>
        <v>222</v>
      </c>
      <c r="F89">
        <f t="shared" si="18"/>
        <v>2</v>
      </c>
      <c r="G89" s="168">
        <f t="shared" si="19"/>
        <v>110.999999911</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85</v>
      </c>
    </row>
    <row r="90" spans="1:16" x14ac:dyDescent="0.25">
      <c r="A90">
        <f t="shared" si="20"/>
        <v>86</v>
      </c>
      <c r="B90">
        <f t="shared" si="16"/>
        <v>0</v>
      </c>
      <c r="C90" t="str">
        <f>IFERROR(INDEX(Starter!B:B,MATCH(B90,Starter!A:A,0)),"")</f>
        <v/>
      </c>
      <c r="D90" t="str">
        <f>IFERROR(INDEX(Starter!C:C,MATCH(B90,Starter!A:A,0)),"")</f>
        <v/>
      </c>
      <c r="E90" s="92">
        <f t="shared" si="17"/>
        <v>222</v>
      </c>
      <c r="F90">
        <f t="shared" si="18"/>
        <v>2</v>
      </c>
      <c r="G90" s="168">
        <f t="shared" si="19"/>
        <v>110.99999991</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86</v>
      </c>
    </row>
    <row r="91" spans="1:16" x14ac:dyDescent="0.25">
      <c r="A91">
        <f t="shared" si="20"/>
        <v>87</v>
      </c>
      <c r="B91">
        <f t="shared" si="16"/>
        <v>0</v>
      </c>
      <c r="C91" t="str">
        <f>IFERROR(INDEX(Starter!B:B,MATCH(B91,Starter!A:A,0)),"")</f>
        <v/>
      </c>
      <c r="D91" t="str">
        <f>IFERROR(INDEX(Starter!C:C,MATCH(B91,Starter!A:A,0)),"")</f>
        <v/>
      </c>
      <c r="E91" s="92">
        <f t="shared" si="17"/>
        <v>222</v>
      </c>
      <c r="F91">
        <f t="shared" si="18"/>
        <v>2</v>
      </c>
      <c r="G91" s="168">
        <f t="shared" si="19"/>
        <v>110.999999909</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87</v>
      </c>
    </row>
    <row r="92" spans="1:16" x14ac:dyDescent="0.25">
      <c r="A92">
        <f t="shared" si="20"/>
        <v>88</v>
      </c>
      <c r="B92">
        <f t="shared" si="16"/>
        <v>0</v>
      </c>
      <c r="C92" t="str">
        <f>IFERROR(INDEX(Starter!B:B,MATCH(B92,Starter!A:A,0)),"")</f>
        <v/>
      </c>
      <c r="D92" t="str">
        <f>IFERROR(INDEX(Starter!C:C,MATCH(B92,Starter!A:A,0)),"")</f>
        <v/>
      </c>
      <c r="E92" s="92">
        <f t="shared" si="17"/>
        <v>222</v>
      </c>
      <c r="F92">
        <f t="shared" si="18"/>
        <v>2</v>
      </c>
      <c r="G92" s="168">
        <f t="shared" si="19"/>
        <v>110.99999990800001</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88</v>
      </c>
    </row>
    <row r="93" spans="1:16" x14ac:dyDescent="0.25">
      <c r="A93">
        <f t="shared" si="20"/>
        <v>89</v>
      </c>
      <c r="B93">
        <f t="shared" si="16"/>
        <v>0</v>
      </c>
      <c r="C93" t="str">
        <f>IFERROR(INDEX(Starter!B:B,MATCH(B93,Starter!A:A,0)),"")</f>
        <v/>
      </c>
      <c r="D93" t="str">
        <f>IFERROR(INDEX(Starter!C:C,MATCH(B93,Starter!A:A,0)),"")</f>
        <v/>
      </c>
      <c r="E93" s="92">
        <f t="shared" si="17"/>
        <v>222</v>
      </c>
      <c r="F93">
        <f t="shared" si="18"/>
        <v>2</v>
      </c>
      <c r="G93" s="168">
        <f t="shared" si="19"/>
        <v>110.999999907</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89</v>
      </c>
    </row>
    <row r="94" spans="1:16" x14ac:dyDescent="0.25">
      <c r="A94">
        <f t="shared" si="20"/>
        <v>90</v>
      </c>
      <c r="B94">
        <f t="shared" si="16"/>
        <v>0</v>
      </c>
      <c r="C94" t="str">
        <f>IFERROR(INDEX(Starter!B:B,MATCH(B94,Starter!A:A,0)),"")</f>
        <v/>
      </c>
      <c r="D94" t="str">
        <f>IFERROR(INDEX(Starter!C:C,MATCH(B94,Starter!A:A,0)),"")</f>
        <v/>
      </c>
      <c r="E94" s="92">
        <f t="shared" si="17"/>
        <v>222</v>
      </c>
      <c r="F94">
        <f t="shared" si="18"/>
        <v>2</v>
      </c>
      <c r="G94" s="168">
        <f t="shared" si="19"/>
        <v>110.999999906</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90</v>
      </c>
    </row>
    <row r="95" spans="1:16" x14ac:dyDescent="0.25">
      <c r="A95">
        <f t="shared" si="20"/>
        <v>91</v>
      </c>
      <c r="B95">
        <f t="shared" si="16"/>
        <v>0</v>
      </c>
      <c r="C95" t="str">
        <f>IFERROR(INDEX(Starter!B:B,MATCH(B95,Starter!A:A,0)),"")</f>
        <v/>
      </c>
      <c r="D95" t="str">
        <f>IFERROR(INDEX(Starter!C:C,MATCH(B95,Starter!A:A,0)),"")</f>
        <v/>
      </c>
      <c r="E95" s="92">
        <f t="shared" si="17"/>
        <v>222</v>
      </c>
      <c r="F95">
        <f t="shared" si="18"/>
        <v>2</v>
      </c>
      <c r="G95" s="168">
        <f t="shared" si="19"/>
        <v>110.999999905</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91</v>
      </c>
    </row>
    <row r="96" spans="1:16" x14ac:dyDescent="0.25">
      <c r="A96">
        <f t="shared" si="20"/>
        <v>92</v>
      </c>
      <c r="B96">
        <f t="shared" si="16"/>
        <v>0</v>
      </c>
      <c r="C96" t="str">
        <f>IFERROR(INDEX(Starter!B:B,MATCH(B96,Starter!A:A,0)),"")</f>
        <v/>
      </c>
      <c r="D96" t="str">
        <f>IFERROR(INDEX(Starter!C:C,MATCH(B96,Starter!A:A,0)),"")</f>
        <v/>
      </c>
      <c r="E96" s="92">
        <f t="shared" si="17"/>
        <v>222</v>
      </c>
      <c r="F96">
        <f t="shared" si="18"/>
        <v>2</v>
      </c>
      <c r="G96" s="168">
        <f t="shared" si="19"/>
        <v>110.99999990400001</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92</v>
      </c>
    </row>
    <row r="97" spans="1:16" x14ac:dyDescent="0.25">
      <c r="A97">
        <f t="shared" si="20"/>
        <v>93</v>
      </c>
      <c r="B97">
        <f t="shared" si="16"/>
        <v>0</v>
      </c>
      <c r="C97" t="str">
        <f>IFERROR(INDEX(Starter!B:B,MATCH(B97,Starter!A:A,0)),"")</f>
        <v/>
      </c>
      <c r="D97" t="str">
        <f>IFERROR(INDEX(Starter!C:C,MATCH(B97,Starter!A:A,0)),"")</f>
        <v/>
      </c>
      <c r="E97" s="92">
        <f t="shared" si="17"/>
        <v>222</v>
      </c>
      <c r="F97">
        <f t="shared" si="18"/>
        <v>2</v>
      </c>
      <c r="G97" s="168">
        <f t="shared" si="19"/>
        <v>110.999999903</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93</v>
      </c>
    </row>
    <row r="98" spans="1:16" x14ac:dyDescent="0.25">
      <c r="A98">
        <f t="shared" si="20"/>
        <v>94</v>
      </c>
      <c r="B98">
        <f t="shared" si="16"/>
        <v>0</v>
      </c>
      <c r="C98" t="str">
        <f>IFERROR(INDEX(Starter!B:B,MATCH(B98,Starter!A:A,0)),"")</f>
        <v/>
      </c>
      <c r="D98" t="str">
        <f>IFERROR(INDEX(Starter!C:C,MATCH(B98,Starter!A:A,0)),"")</f>
        <v/>
      </c>
      <c r="E98" s="92">
        <f t="shared" si="17"/>
        <v>222</v>
      </c>
      <c r="F98">
        <f t="shared" si="18"/>
        <v>2</v>
      </c>
      <c r="G98" s="168">
        <f t="shared" si="19"/>
        <v>110.999999902</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94</v>
      </c>
    </row>
    <row r="99" spans="1:16" x14ac:dyDescent="0.25">
      <c r="A99">
        <f t="shared" si="20"/>
        <v>95</v>
      </c>
      <c r="B99">
        <f t="shared" si="16"/>
        <v>0</v>
      </c>
      <c r="C99" t="str">
        <f>IFERROR(INDEX(Starter!B:B,MATCH(B99,Starter!A:A,0)),"")</f>
        <v/>
      </c>
      <c r="D99" t="str">
        <f>IFERROR(INDEX(Starter!C:C,MATCH(B99,Starter!A:A,0)),"")</f>
        <v/>
      </c>
      <c r="E99" s="92">
        <f t="shared" si="17"/>
        <v>222</v>
      </c>
      <c r="F99">
        <f t="shared" si="18"/>
        <v>2</v>
      </c>
      <c r="G99" s="168">
        <f t="shared" si="19"/>
        <v>110.999999901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95</v>
      </c>
    </row>
    <row r="100" spans="1:16" x14ac:dyDescent="0.25">
      <c r="A100">
        <f t="shared" si="20"/>
        <v>96</v>
      </c>
      <c r="B100">
        <f t="shared" si="16"/>
        <v>0</v>
      </c>
      <c r="C100" t="str">
        <f>IFERROR(INDEX(Starter!B:B,MATCH(B100,Starter!A:A,0)),"")</f>
        <v/>
      </c>
      <c r="D100" t="str">
        <f>IFERROR(INDEX(Starter!C:C,MATCH(B100,Starter!A:A,0)),"")</f>
        <v/>
      </c>
      <c r="E100" s="92">
        <f t="shared" si="17"/>
        <v>222</v>
      </c>
      <c r="F100">
        <f t="shared" si="18"/>
        <v>2</v>
      </c>
      <c r="G100" s="168">
        <f t="shared" si="19"/>
        <v>110.99999990000001</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96</v>
      </c>
    </row>
    <row r="101" spans="1:16" x14ac:dyDescent="0.25">
      <c r="A101">
        <f t="shared" si="20"/>
        <v>97</v>
      </c>
      <c r="B101">
        <f>IFERROR(INDEX(L:L,MATCH(A101,P:P,0)),"")</f>
        <v>0</v>
      </c>
      <c r="C101" t="str">
        <f>IFERROR(INDEX(Starter!B:B,MATCH(B101,Starter!A:A,0)),"")</f>
        <v/>
      </c>
      <c r="D101" t="str">
        <f>IFERROR(INDEX(Starter!C:C,MATCH(B101,Starter!A:A,0)),"")</f>
        <v/>
      </c>
      <c r="E101" s="92">
        <f t="shared" si="17"/>
        <v>222</v>
      </c>
      <c r="F101">
        <f t="shared" si="18"/>
        <v>2</v>
      </c>
      <c r="G101" s="168">
        <f t="shared" si="19"/>
        <v>110.999999899</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97</v>
      </c>
    </row>
    <row r="102" spans="1:16" x14ac:dyDescent="0.25">
      <c r="A102">
        <f t="shared" si="20"/>
        <v>98</v>
      </c>
      <c r="B102">
        <f>IFERROR(INDEX(L:L,MATCH(A102,P:P,0)),"")</f>
        <v>0</v>
      </c>
      <c r="C102" t="str">
        <f>IFERROR(INDEX(Starter!B:B,MATCH(B102,Starter!A:A,0)),"")</f>
        <v/>
      </c>
      <c r="D102" t="str">
        <f>IFERROR(INDEX(Starter!C:C,MATCH(B102,Starter!A:A,0)),"")</f>
        <v/>
      </c>
      <c r="E102" s="92">
        <f t="shared" si="17"/>
        <v>222</v>
      </c>
      <c r="F102">
        <f t="shared" si="18"/>
        <v>2</v>
      </c>
      <c r="G102" s="168">
        <f t="shared" si="19"/>
        <v>110.999999898</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98</v>
      </c>
    </row>
    <row r="103" spans="1:16" x14ac:dyDescent="0.25">
      <c r="A103">
        <f t="shared" si="20"/>
        <v>99</v>
      </c>
      <c r="B103">
        <f>IFERROR(INDEX(L:L,MATCH(A103,P:P,0)),"")</f>
        <v>0</v>
      </c>
      <c r="C103" t="str">
        <f>IFERROR(INDEX(Starter!B:B,MATCH(B103,Starter!A:A,0)),"")</f>
        <v/>
      </c>
      <c r="D103" t="str">
        <f>IFERROR(INDEX(Starter!C:C,MATCH(B103,Starter!A:A,0)),"")</f>
        <v/>
      </c>
      <c r="E103" s="92">
        <f t="shared" si="17"/>
        <v>222</v>
      </c>
      <c r="F103">
        <f t="shared" si="18"/>
        <v>2</v>
      </c>
      <c r="G103" s="168">
        <f t="shared" si="19"/>
        <v>110.999999897</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99</v>
      </c>
    </row>
    <row r="104" spans="1:16" x14ac:dyDescent="0.25">
      <c r="A104">
        <f t="shared" si="20"/>
        <v>100</v>
      </c>
      <c r="B104">
        <f>IFERROR(INDEX(L:L,MATCH(A104,P:P,0)),"")</f>
        <v>0</v>
      </c>
      <c r="C104" t="str">
        <f>IFERROR(INDEX(Starter!B:B,MATCH(B104,Starter!A:A,0)),"")</f>
        <v/>
      </c>
      <c r="D104" t="str">
        <f>IFERROR(INDEX(Starter!C:C,MATCH(B104,Starter!A:A,0)),"")</f>
        <v/>
      </c>
      <c r="E104" s="92">
        <f t="shared" si="17"/>
        <v>222</v>
      </c>
      <c r="F104">
        <f t="shared" si="18"/>
        <v>2</v>
      </c>
      <c r="G104" s="168">
        <f t="shared" si="19"/>
        <v>110.99999989600001</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pageSetUpPr autoPageBreaks="0"/>
  </sheetPr>
  <dimension ref="A1:V86"/>
  <sheetViews>
    <sheetView showGridLines="0" zoomScaleNormal="100" workbookViewId="0">
      <selection activeCell="A9" sqref="A9: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7" t="s">
        <v>1820</v>
      </c>
      <c r="C2" s="337"/>
      <c r="D2" s="337"/>
      <c r="E2" s="337"/>
      <c r="F2" s="337"/>
      <c r="G2" s="337"/>
      <c r="H2" s="337"/>
      <c r="I2" s="337"/>
      <c r="J2" s="337"/>
      <c r="K2" s="337"/>
      <c r="L2" s="337"/>
      <c r="M2" s="337"/>
      <c r="N2" s="337"/>
      <c r="O2" s="337"/>
      <c r="P2" s="337"/>
      <c r="Q2" s="337"/>
      <c r="R2" s="337"/>
      <c r="S2" s="337"/>
      <c r="T2" s="337"/>
      <c r="U2" s="337"/>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8"/>
      <c r="R4" s="338"/>
      <c r="S4" s="338"/>
      <c r="T4" s="338"/>
      <c r="U4" s="338"/>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9">
        <f>+Spielzettel6!M2</f>
        <v>6</v>
      </c>
      <c r="F6" s="340"/>
      <c r="P6" s="128" t="s">
        <v>1821</v>
      </c>
      <c r="Q6" s="341" t="str">
        <f>+Spielzettel6!L1</f>
        <v>18.05.</v>
      </c>
      <c r="R6" s="342">
        <v>0</v>
      </c>
      <c r="S6" s="342">
        <v>0</v>
      </c>
      <c r="T6" s="343">
        <v>0</v>
      </c>
      <c r="U6" s="61"/>
    </row>
    <row r="7" spans="2:21" x14ac:dyDescent="0.25">
      <c r="B7" s="60"/>
      <c r="C7" s="128"/>
      <c r="D7" s="128"/>
      <c r="U7" s="61"/>
    </row>
    <row r="8" spans="2:21" x14ac:dyDescent="0.25">
      <c r="B8" s="60"/>
      <c r="C8" s="128" t="s">
        <v>1822</v>
      </c>
      <c r="D8" s="128"/>
      <c r="E8" s="344" t="str">
        <f>+Spielzettel6!D2</f>
        <v>Nürnberg West Bowling</v>
      </c>
      <c r="F8" s="345"/>
      <c r="G8" s="345"/>
      <c r="H8" s="345">
        <v>0</v>
      </c>
      <c r="I8" s="345"/>
      <c r="J8" s="346"/>
      <c r="N8" s="128" t="s">
        <v>1823</v>
      </c>
      <c r="P8" s="344" t="str">
        <f>+Spielzettel6!D1</f>
        <v>Landesliga Nord Frauen</v>
      </c>
      <c r="Q8" s="345"/>
      <c r="R8" s="345"/>
      <c r="S8" s="345"/>
      <c r="T8" s="346"/>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1" t="s">
        <v>1824</v>
      </c>
      <c r="D11" s="331"/>
      <c r="E11" s="331"/>
      <c r="F11" s="331"/>
      <c r="G11" s="331"/>
      <c r="H11" s="331"/>
      <c r="I11" s="331"/>
      <c r="J11" s="331"/>
      <c r="K11" s="331"/>
      <c r="L11" s="331"/>
      <c r="M11" s="331"/>
      <c r="N11" s="331"/>
      <c r="O11" s="331"/>
      <c r="P11" s="331"/>
      <c r="Q11" s="331"/>
      <c r="R11" s="331"/>
      <c r="S11" s="331"/>
      <c r="T11" s="331"/>
      <c r="U11" s="131"/>
    </row>
    <row r="12" spans="2:21" ht="21.75" customHeight="1" x14ac:dyDescent="0.25">
      <c r="B12" s="132"/>
      <c r="C12" s="332" t="s">
        <v>1825</v>
      </c>
      <c r="D12" s="332"/>
      <c r="E12" s="332"/>
      <c r="F12" s="332"/>
      <c r="G12" s="332"/>
      <c r="H12" s="332"/>
      <c r="I12" s="332"/>
      <c r="J12" s="332"/>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5"/>
      <c r="D19" s="326"/>
      <c r="E19" s="333"/>
      <c r="F19" s="333"/>
      <c r="G19" s="333"/>
      <c r="H19" s="333"/>
      <c r="I19" s="333"/>
      <c r="J19" s="333"/>
      <c r="K19" s="333"/>
      <c r="L19" s="333"/>
      <c r="M19" s="333"/>
      <c r="N19" s="333"/>
      <c r="O19" s="333"/>
      <c r="P19" s="333"/>
      <c r="Q19" s="333"/>
      <c r="R19" s="333"/>
      <c r="S19" s="333"/>
      <c r="T19" s="334"/>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5"/>
      <c r="D24" s="326"/>
      <c r="E24" s="326"/>
      <c r="F24" s="326"/>
      <c r="G24" s="326"/>
      <c r="H24" s="326"/>
      <c r="I24" s="326"/>
      <c r="J24" s="326"/>
      <c r="K24" s="326"/>
      <c r="L24" s="326"/>
      <c r="M24" s="326"/>
      <c r="N24" s="326"/>
      <c r="O24" s="326"/>
      <c r="P24" s="326"/>
      <c r="Q24" s="326"/>
      <c r="R24" s="326"/>
      <c r="S24" s="326"/>
      <c r="T24" s="327"/>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5"/>
      <c r="D29" s="326"/>
      <c r="E29" s="326"/>
      <c r="F29" s="326"/>
      <c r="G29" s="326"/>
      <c r="H29" s="326"/>
      <c r="I29" s="326"/>
      <c r="J29" s="326"/>
      <c r="K29" s="326"/>
      <c r="L29" s="326"/>
      <c r="M29" s="326"/>
      <c r="N29" s="326"/>
      <c r="O29" s="326"/>
      <c r="P29" s="326"/>
      <c r="Q29" s="326"/>
      <c r="R29" s="326"/>
      <c r="S29" s="326"/>
      <c r="T29" s="327"/>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5"/>
      <c r="G35" s="335"/>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5"/>
      <c r="D37" s="326"/>
      <c r="E37" s="326"/>
      <c r="F37" s="326"/>
      <c r="G37" s="326"/>
      <c r="H37" s="326"/>
      <c r="I37" s="326"/>
      <c r="J37" s="326"/>
      <c r="K37" s="326"/>
      <c r="L37" s="326"/>
      <c r="M37" s="326"/>
      <c r="N37" s="326"/>
      <c r="O37" s="326"/>
      <c r="P37" s="326"/>
      <c r="Q37" s="326"/>
      <c r="R37" s="326"/>
      <c r="S37" s="326"/>
      <c r="T37" s="327"/>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6"/>
      <c r="G41" s="336"/>
      <c r="H41" s="336"/>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5"/>
      <c r="D45" s="326"/>
      <c r="E45" s="326"/>
      <c r="F45" s="326"/>
      <c r="G45" s="326"/>
      <c r="H45" s="326"/>
      <c r="I45" s="326"/>
      <c r="J45" s="326"/>
      <c r="K45" s="326"/>
      <c r="L45" s="326"/>
      <c r="M45" s="326"/>
      <c r="N45" s="326"/>
      <c r="O45" s="326"/>
      <c r="P45" s="326"/>
      <c r="Q45" s="326"/>
      <c r="R45" s="326"/>
      <c r="S45" s="326"/>
      <c r="T45" s="327"/>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1" t="s">
        <v>1847</v>
      </c>
      <c r="D48" s="331"/>
      <c r="E48" s="331"/>
      <c r="F48" s="331"/>
      <c r="G48" s="331"/>
      <c r="H48" s="331"/>
      <c r="I48" s="331"/>
      <c r="J48" s="331"/>
      <c r="K48" s="331"/>
      <c r="L48" s="331"/>
      <c r="M48" s="331"/>
      <c r="N48" s="331"/>
      <c r="O48" s="331"/>
      <c r="P48" s="331"/>
      <c r="Q48" s="331"/>
      <c r="R48" s="331"/>
      <c r="S48" s="331"/>
      <c r="T48" s="331"/>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5"/>
      <c r="D52" s="326"/>
      <c r="E52" s="326"/>
      <c r="F52" s="326"/>
      <c r="G52" s="326"/>
      <c r="H52" s="326"/>
      <c r="I52" s="326"/>
      <c r="J52" s="326"/>
      <c r="K52" s="326"/>
      <c r="L52" s="326"/>
      <c r="M52" s="326"/>
      <c r="N52" s="326"/>
      <c r="O52" s="326"/>
      <c r="P52" s="326"/>
      <c r="Q52" s="326"/>
      <c r="R52" s="326"/>
      <c r="S52" s="326"/>
      <c r="T52" s="327"/>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5"/>
      <c r="D56" s="326"/>
      <c r="E56" s="326"/>
      <c r="F56" s="326"/>
      <c r="G56" s="326"/>
      <c r="H56" s="326"/>
      <c r="I56" s="326"/>
      <c r="J56" s="326"/>
      <c r="K56" s="326"/>
      <c r="L56" s="326"/>
      <c r="M56" s="326"/>
      <c r="N56" s="326"/>
      <c r="O56" s="326"/>
      <c r="P56" s="326"/>
      <c r="Q56" s="326"/>
      <c r="R56" s="326"/>
      <c r="S56" s="326"/>
      <c r="T56" s="327"/>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5"/>
      <c r="D60" s="326"/>
      <c r="E60" s="326"/>
      <c r="F60" s="326"/>
      <c r="G60" s="326"/>
      <c r="H60" s="326"/>
      <c r="I60" s="326"/>
      <c r="J60" s="326"/>
      <c r="K60" s="326"/>
      <c r="L60" s="326"/>
      <c r="M60" s="326"/>
      <c r="N60" s="326"/>
      <c r="O60" s="326"/>
      <c r="P60" s="326"/>
      <c r="Q60" s="326"/>
      <c r="R60" s="326"/>
      <c r="S60" s="326"/>
      <c r="T60" s="327"/>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5"/>
      <c r="D64" s="326"/>
      <c r="E64" s="326"/>
      <c r="F64" s="326"/>
      <c r="G64" s="326"/>
      <c r="H64" s="326"/>
      <c r="I64" s="326"/>
      <c r="J64" s="326"/>
      <c r="K64" s="326"/>
      <c r="L64" s="326"/>
      <c r="M64" s="326"/>
      <c r="N64" s="326"/>
      <c r="O64" s="326"/>
      <c r="P64" s="326"/>
      <c r="Q64" s="326"/>
      <c r="R64" s="326"/>
      <c r="S64" s="326"/>
      <c r="T64" s="327"/>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5"/>
      <c r="D68" s="326"/>
      <c r="E68" s="326"/>
      <c r="F68" s="326"/>
      <c r="G68" s="326"/>
      <c r="H68" s="326"/>
      <c r="I68" s="326"/>
      <c r="J68" s="326"/>
      <c r="K68" s="326"/>
      <c r="L68" s="326"/>
      <c r="M68" s="326"/>
      <c r="N68" s="326"/>
      <c r="O68" s="326"/>
      <c r="P68" s="326"/>
      <c r="Q68" s="326"/>
      <c r="R68" s="326"/>
      <c r="S68" s="326"/>
      <c r="T68" s="327"/>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5"/>
      <c r="D72" s="326"/>
      <c r="E72" s="326"/>
      <c r="F72" s="326"/>
      <c r="G72" s="326"/>
      <c r="H72" s="326"/>
      <c r="I72" s="326"/>
      <c r="J72" s="326"/>
      <c r="K72" s="326"/>
      <c r="L72" s="326"/>
      <c r="M72" s="326"/>
      <c r="N72" s="326"/>
      <c r="O72" s="326"/>
      <c r="P72" s="326"/>
      <c r="Q72" s="326"/>
      <c r="R72" s="326"/>
      <c r="S72" s="326"/>
      <c r="T72" s="327"/>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8"/>
      <c r="D79" s="329"/>
      <c r="E79" s="329"/>
      <c r="F79" s="329"/>
      <c r="G79" s="329"/>
      <c r="H79" s="329"/>
      <c r="I79" s="329"/>
      <c r="J79" s="329"/>
      <c r="K79" s="329"/>
      <c r="L79" s="329"/>
      <c r="M79" s="329"/>
      <c r="N79" s="329"/>
      <c r="O79" s="329"/>
      <c r="P79" s="329"/>
      <c r="Q79" s="329"/>
      <c r="R79" s="329"/>
      <c r="S79" s="329"/>
      <c r="T79" s="330"/>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4"/>
      <c r="E82" s="324"/>
      <c r="F82" s="324"/>
      <c r="G82" s="324"/>
      <c r="H82" s="324"/>
      <c r="I82" s="324"/>
      <c r="J82" s="324"/>
      <c r="K82" s="324"/>
      <c r="L82" s="324"/>
      <c r="M82" s="324"/>
      <c r="P82" s="324"/>
      <c r="Q82" s="324"/>
      <c r="R82" s="324"/>
      <c r="S82" s="324"/>
      <c r="T82" s="324"/>
      <c r="U82" s="324"/>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4"/>
      <c r="E85" s="324"/>
      <c r="F85" s="324"/>
      <c r="G85" s="324"/>
      <c r="H85" s="324"/>
      <c r="I85" s="324"/>
      <c r="J85" s="324"/>
      <c r="K85" s="324"/>
      <c r="L85" s="324"/>
      <c r="M85" s="324"/>
      <c r="P85" s="324"/>
      <c r="Q85" s="324"/>
      <c r="R85" s="324"/>
      <c r="S85" s="324"/>
      <c r="T85" s="324"/>
      <c r="U85" s="324"/>
    </row>
    <row r="86" spans="1:21" x14ac:dyDescent="0.25">
      <c r="C86" s="158"/>
      <c r="D86" s="49" t="s">
        <v>1856</v>
      </c>
      <c r="P86" s="159" t="s">
        <v>1857</v>
      </c>
    </row>
  </sheetData>
  <sheetProtection password="D19C" sheet="1" selectLockedCells="1"/>
  <mergeCells count="27">
    <mergeCell ref="C52:T52"/>
    <mergeCell ref="C56:T56"/>
    <mergeCell ref="D85:M85"/>
    <mergeCell ref="P85:U85"/>
    <mergeCell ref="C60:T60"/>
    <mergeCell ref="C64:T64"/>
    <mergeCell ref="C68:T68"/>
    <mergeCell ref="C72:T72"/>
    <mergeCell ref="C79:T79"/>
    <mergeCell ref="D82:M82"/>
    <mergeCell ref="P82:U82"/>
    <mergeCell ref="F35:G35"/>
    <mergeCell ref="C37:T37"/>
    <mergeCell ref="F41:H41"/>
    <mergeCell ref="C45:T45"/>
    <mergeCell ref="C48:T48"/>
    <mergeCell ref="C11:T11"/>
    <mergeCell ref="C12:J12"/>
    <mergeCell ref="C19:T19"/>
    <mergeCell ref="C24:T24"/>
    <mergeCell ref="C29:T29"/>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E87"/>
  <sheetViews>
    <sheetView view="pageBreakPreview" topLeftCell="A46" zoomScaleNormal="100" zoomScaleSheetLayoutView="100" workbookViewId="0">
      <selection activeCell="A9" sqref="A9: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62" t="str">
        <f>Schlüssel!$DI$1</f>
        <v>18.05.</v>
      </c>
      <c r="M1" s="362"/>
      <c r="N1" s="362"/>
      <c r="O1" s="362"/>
      <c r="P1" s="362"/>
      <c r="AE1" s="90" t="s">
        <v>1809</v>
      </c>
    </row>
    <row r="2" spans="1:31" ht="17.25" customHeight="1" thickBot="1" x14ac:dyDescent="0.35">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VLOOKUP($B2,Schlüssel!$A$5:$DZ$10,113)</f>
        <v>22</v>
      </c>
      <c r="F4" s="47" t="s">
        <v>10</v>
      </c>
      <c r="G4" s="7">
        <f>VLOOKUP($B2,Schlüssel!$A$5:$DZ$10,114)</f>
        <v>21</v>
      </c>
      <c r="H4" s="47" t="s">
        <v>10</v>
      </c>
      <c r="I4" s="7">
        <f>VLOOKUP($B2,Schlüssel!$A$5:$DZ$10,115)</f>
        <v>22</v>
      </c>
      <c r="J4" s="47" t="s">
        <v>10</v>
      </c>
      <c r="K4" s="7">
        <f>VLOOKUP($B2,Schlüssel!$A$5:$DZ$10,116)</f>
        <v>21</v>
      </c>
      <c r="L4" s="47" t="s">
        <v>10</v>
      </c>
      <c r="M4" s="7">
        <f>VLOOKUP($B2,Schlüssel!$A$5:$DZ$10,117)</f>
        <v>22</v>
      </c>
      <c r="N4" s="43" t="s">
        <v>10</v>
      </c>
      <c r="O4" s="66">
        <f>VLOOKUP($B2,Schlüssel!$A$5:$DZ$10,118)</f>
        <v>21</v>
      </c>
    </row>
    <row r="5" spans="1:31" ht="20.25" customHeight="1" x14ac:dyDescent="0.25">
      <c r="B5" s="40" t="s">
        <v>1</v>
      </c>
      <c r="C5" s="41"/>
      <c r="D5" s="363" t="s">
        <v>1789</v>
      </c>
      <c r="E5" s="364"/>
      <c r="F5" s="363" t="s">
        <v>1790</v>
      </c>
      <c r="G5" s="364"/>
      <c r="H5" s="363" t="s">
        <v>1791</v>
      </c>
      <c r="I5" s="364"/>
      <c r="J5" s="363" t="s">
        <v>1792</v>
      </c>
      <c r="K5" s="364"/>
      <c r="L5" s="363" t="s">
        <v>1793</v>
      </c>
      <c r="M5" s="364"/>
      <c r="N5" s="363" t="s">
        <v>2088</v>
      </c>
      <c r="O5" s="364"/>
      <c r="P5" s="365" t="s">
        <v>1788</v>
      </c>
      <c r="Q5" s="36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9" t="s">
        <v>0</v>
      </c>
      <c r="B7" s="17"/>
      <c r="C7" s="18"/>
      <c r="D7" s="14"/>
      <c r="E7" s="356"/>
      <c r="F7" s="14"/>
      <c r="G7" s="356"/>
      <c r="H7" s="14"/>
      <c r="I7" s="356"/>
      <c r="J7" s="14"/>
      <c r="K7" s="356"/>
      <c r="L7" s="14"/>
      <c r="M7" s="356"/>
      <c r="N7" s="14"/>
      <c r="O7" s="356"/>
      <c r="P7" s="14"/>
      <c r="Q7" s="356"/>
    </row>
    <row r="8" spans="1:31" ht="17.100000000000001" customHeight="1" x14ac:dyDescent="0.25">
      <c r="A8" s="360"/>
      <c r="B8" s="19"/>
      <c r="C8" s="20"/>
      <c r="D8" s="15"/>
      <c r="E8" s="357"/>
      <c r="F8" s="15"/>
      <c r="G8" s="357"/>
      <c r="H8" s="15"/>
      <c r="I8" s="357"/>
      <c r="J8" s="15"/>
      <c r="K8" s="357"/>
      <c r="L8" s="15"/>
      <c r="M8" s="357"/>
      <c r="N8" s="15"/>
      <c r="O8" s="357"/>
      <c r="P8" s="15"/>
      <c r="Q8" s="357"/>
    </row>
    <row r="9" spans="1:31" ht="17.100000000000001" customHeight="1" thickBot="1" x14ac:dyDescent="0.3">
      <c r="A9" s="361"/>
      <c r="B9" s="21"/>
      <c r="C9" s="22"/>
      <c r="D9" s="9"/>
      <c r="E9" s="358"/>
      <c r="F9" s="9"/>
      <c r="G9" s="358"/>
      <c r="H9" s="9"/>
      <c r="I9" s="358"/>
      <c r="J9" s="9"/>
      <c r="K9" s="358"/>
      <c r="L9" s="9"/>
      <c r="M9" s="358"/>
      <c r="N9" s="9"/>
      <c r="O9" s="358"/>
      <c r="P9" s="9"/>
      <c r="Q9" s="358"/>
    </row>
    <row r="10" spans="1:31" ht="17.100000000000001" customHeight="1" x14ac:dyDescent="0.25">
      <c r="A10" s="359" t="s">
        <v>2</v>
      </c>
      <c r="B10" s="17"/>
      <c r="C10" s="18"/>
      <c r="D10" s="14"/>
      <c r="E10" s="356"/>
      <c r="F10" s="14"/>
      <c r="G10" s="356"/>
      <c r="H10" s="14"/>
      <c r="I10" s="356"/>
      <c r="J10" s="14"/>
      <c r="K10" s="356"/>
      <c r="L10" s="14"/>
      <c r="M10" s="356"/>
      <c r="N10" s="14"/>
      <c r="O10" s="356"/>
      <c r="P10" s="14"/>
      <c r="Q10" s="356"/>
    </row>
    <row r="11" spans="1:31" ht="17.100000000000001" customHeight="1" x14ac:dyDescent="0.25">
      <c r="A11" s="360"/>
      <c r="B11" s="19"/>
      <c r="C11" s="20"/>
      <c r="D11" s="15"/>
      <c r="E11" s="357"/>
      <c r="F11" s="15"/>
      <c r="G11" s="357"/>
      <c r="H11" s="15"/>
      <c r="I11" s="357"/>
      <c r="J11" s="15"/>
      <c r="K11" s="357"/>
      <c r="L11" s="15"/>
      <c r="M11" s="357"/>
      <c r="N11" s="15"/>
      <c r="O11" s="357"/>
      <c r="P11" s="15"/>
      <c r="Q11" s="357"/>
    </row>
    <row r="12" spans="1:31" ht="17.100000000000001" customHeight="1" thickBot="1" x14ac:dyDescent="0.3">
      <c r="A12" s="361"/>
      <c r="B12" s="21"/>
      <c r="C12" s="22"/>
      <c r="D12" s="9"/>
      <c r="E12" s="358"/>
      <c r="F12" s="9"/>
      <c r="G12" s="358"/>
      <c r="H12" s="9"/>
      <c r="I12" s="358"/>
      <c r="J12" s="9"/>
      <c r="K12" s="358"/>
      <c r="L12" s="9"/>
      <c r="M12" s="358"/>
      <c r="N12" s="9"/>
      <c r="O12" s="358"/>
      <c r="P12" s="9"/>
      <c r="Q12" s="358"/>
    </row>
    <row r="13" spans="1:31" ht="17.100000000000001" customHeight="1" x14ac:dyDescent="0.25">
      <c r="A13" s="359" t="s">
        <v>3</v>
      </c>
      <c r="B13" s="17"/>
      <c r="C13" s="18"/>
      <c r="D13" s="14"/>
      <c r="E13" s="356"/>
      <c r="F13" s="14"/>
      <c r="G13" s="356"/>
      <c r="H13" s="14"/>
      <c r="I13" s="356"/>
      <c r="J13" s="14"/>
      <c r="K13" s="356"/>
      <c r="L13" s="14"/>
      <c r="M13" s="356"/>
      <c r="N13" s="14"/>
      <c r="O13" s="356"/>
      <c r="P13" s="14"/>
      <c r="Q13" s="356"/>
    </row>
    <row r="14" spans="1:31" ht="17.100000000000001" customHeight="1" x14ac:dyDescent="0.25">
      <c r="A14" s="360"/>
      <c r="B14" s="19"/>
      <c r="C14" s="20"/>
      <c r="D14" s="15"/>
      <c r="E14" s="357"/>
      <c r="F14" s="15"/>
      <c r="G14" s="357"/>
      <c r="H14" s="15"/>
      <c r="I14" s="357"/>
      <c r="J14" s="15"/>
      <c r="K14" s="357"/>
      <c r="L14" s="15"/>
      <c r="M14" s="357"/>
      <c r="N14" s="15"/>
      <c r="O14" s="357"/>
      <c r="P14" s="15"/>
      <c r="Q14" s="357"/>
    </row>
    <row r="15" spans="1:31" ht="17.100000000000001" customHeight="1" thickBot="1" x14ac:dyDescent="0.3">
      <c r="A15" s="361"/>
      <c r="B15" s="21"/>
      <c r="C15" s="22"/>
      <c r="D15" s="9"/>
      <c r="E15" s="358"/>
      <c r="F15" s="9"/>
      <c r="G15" s="358"/>
      <c r="H15" s="9"/>
      <c r="I15" s="358"/>
      <c r="J15" s="9"/>
      <c r="K15" s="358"/>
      <c r="L15" s="9"/>
      <c r="M15" s="358"/>
      <c r="N15" s="9"/>
      <c r="O15" s="358"/>
      <c r="P15" s="9"/>
      <c r="Q15" s="358"/>
    </row>
    <row r="16" spans="1:31" ht="17.100000000000001" customHeight="1" x14ac:dyDescent="0.25">
      <c r="A16" s="359" t="s">
        <v>11</v>
      </c>
      <c r="B16" s="17"/>
      <c r="C16" s="18"/>
      <c r="D16" s="14"/>
      <c r="E16" s="356"/>
      <c r="F16" s="14"/>
      <c r="G16" s="356"/>
      <c r="H16" s="14"/>
      <c r="I16" s="356"/>
      <c r="J16" s="14"/>
      <c r="K16" s="356"/>
      <c r="L16" s="14"/>
      <c r="M16" s="356"/>
      <c r="N16" s="14"/>
      <c r="O16" s="356"/>
      <c r="P16" s="14"/>
      <c r="Q16" s="356"/>
    </row>
    <row r="17" spans="1:31" ht="17.100000000000001" customHeight="1" x14ac:dyDescent="0.25">
      <c r="A17" s="360"/>
      <c r="B17" s="19"/>
      <c r="C17" s="20"/>
      <c r="D17" s="15"/>
      <c r="E17" s="357"/>
      <c r="F17" s="15"/>
      <c r="G17" s="357"/>
      <c r="H17" s="15"/>
      <c r="I17" s="357"/>
      <c r="J17" s="15"/>
      <c r="K17" s="357"/>
      <c r="L17" s="15"/>
      <c r="M17" s="357"/>
      <c r="N17" s="15"/>
      <c r="O17" s="357"/>
      <c r="P17" s="15"/>
      <c r="Q17" s="357"/>
    </row>
    <row r="18" spans="1:31" ht="17.100000000000001" customHeight="1" thickBot="1" x14ac:dyDescent="0.3">
      <c r="A18" s="361"/>
      <c r="B18" s="21"/>
      <c r="C18" s="22"/>
      <c r="D18" s="9"/>
      <c r="E18" s="358"/>
      <c r="F18" s="9"/>
      <c r="G18" s="358"/>
      <c r="H18" s="9"/>
      <c r="I18" s="358"/>
      <c r="J18" s="9"/>
      <c r="K18" s="358"/>
      <c r="L18" s="9"/>
      <c r="M18" s="358"/>
      <c r="N18" s="9"/>
      <c r="O18" s="358"/>
      <c r="P18" s="9"/>
      <c r="Q18" s="358"/>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4">
        <f>VLOOKUP(B2,Schlüssel!$A$5:$DF$10,83)</f>
        <v>0</v>
      </c>
      <c r="E22" s="354"/>
      <c r="F22" s="354">
        <f>VLOOKUP(B2,Schlüssel!$A$5:$DF$10,84)</f>
        <v>0</v>
      </c>
      <c r="G22" s="354"/>
      <c r="H22" s="354">
        <f>VLOOKUP(B2,Schlüssel!$A$5:$DF$10,85)</f>
        <v>0</v>
      </c>
      <c r="I22" s="354"/>
      <c r="J22" s="354">
        <f>VLOOKUP(B2,Schlüssel!$A$5:$DF$10,86)</f>
        <v>0</v>
      </c>
      <c r="K22" s="354"/>
      <c r="L22" s="354">
        <f>VLOOKUP(B2,Schlüssel!$A$5:$DF$10,87)</f>
        <v>0</v>
      </c>
      <c r="M22" s="354"/>
      <c r="N22" s="354">
        <f>VLOOKUP(B2,Schlüssel!$A$5:$DF$10,88)</f>
        <v>0</v>
      </c>
      <c r="O22" s="354"/>
      <c r="P22" s="355"/>
      <c r="Q22" s="355"/>
    </row>
    <row r="23" spans="1:31" ht="28.5" customHeight="1" x14ac:dyDescent="0.25">
      <c r="B23" s="4"/>
      <c r="C23" s="1"/>
      <c r="D23" s="351" t="e">
        <f>VLOOKUP(D22,Schlüssel!$A$5:$K$10,2)</f>
        <v>#N/A</v>
      </c>
      <c r="E23" s="352"/>
      <c r="F23" s="351" t="e">
        <f>VLOOKUP(F22,Schlüssel!$A$5:$K$10,2)</f>
        <v>#N/A</v>
      </c>
      <c r="G23" s="352"/>
      <c r="H23" s="351" t="e">
        <f>VLOOKUP(H22,Schlüssel!$A$5:$K$10,2)</f>
        <v>#N/A</v>
      </c>
      <c r="I23" s="352"/>
      <c r="J23" s="351" t="e">
        <f>VLOOKUP(J22,Schlüssel!$A$5:$K$10,2)</f>
        <v>#N/A</v>
      </c>
      <c r="K23" s="352"/>
      <c r="L23" s="351" t="e">
        <f>VLOOKUP(L22,Schlüssel!$A$5:$K$10,2)</f>
        <v>#N/A</v>
      </c>
      <c r="M23" s="352"/>
      <c r="N23" s="351" t="e">
        <f>VLOOKUP(N22,Schlüssel!$A$5:$K$10,2)</f>
        <v>#N/A</v>
      </c>
      <c r="O23" s="352"/>
      <c r="P23" s="353"/>
      <c r="Q23" s="353"/>
    </row>
    <row r="24" spans="1:31" ht="12" customHeight="1" x14ac:dyDescent="0.25">
      <c r="B24" s="4"/>
      <c r="C24" s="1"/>
      <c r="D24" s="350"/>
      <c r="E24" s="350"/>
      <c r="F24" s="350"/>
      <c r="G24" s="350"/>
      <c r="H24" s="350"/>
      <c r="I24" s="350"/>
      <c r="J24" s="350"/>
      <c r="K24" s="350"/>
      <c r="L24" s="350"/>
      <c r="M24" s="350"/>
      <c r="N24" s="350"/>
      <c r="O24" s="350"/>
      <c r="P24" s="307"/>
      <c r="Q24" s="307"/>
    </row>
    <row r="25" spans="1:31" ht="15.9" customHeight="1" x14ac:dyDescent="0.25">
      <c r="B25" s="35" t="s">
        <v>0</v>
      </c>
      <c r="C25" s="36"/>
      <c r="D25" s="348"/>
      <c r="E25" s="348"/>
      <c r="F25" s="348"/>
      <c r="G25" s="348"/>
      <c r="H25" s="348"/>
      <c r="I25" s="348"/>
      <c r="J25" s="348"/>
      <c r="K25" s="348"/>
      <c r="L25" s="348"/>
      <c r="M25" s="348"/>
      <c r="N25" s="348"/>
      <c r="O25" s="348"/>
      <c r="P25" s="349"/>
      <c r="Q25" s="349"/>
    </row>
    <row r="26" spans="1:31" ht="15.9" customHeight="1" x14ac:dyDescent="0.25">
      <c r="B26" s="35" t="s">
        <v>2</v>
      </c>
      <c r="C26" s="36"/>
      <c r="D26" s="348"/>
      <c r="E26" s="348"/>
      <c r="F26" s="348"/>
      <c r="G26" s="348"/>
      <c r="H26" s="348"/>
      <c r="I26" s="348"/>
      <c r="J26" s="348"/>
      <c r="K26" s="348"/>
      <c r="L26" s="348"/>
      <c r="M26" s="348"/>
      <c r="N26" s="348"/>
      <c r="O26" s="348"/>
      <c r="P26" s="349"/>
      <c r="Q26" s="349"/>
    </row>
    <row r="27" spans="1:31" ht="15.9" customHeight="1" x14ac:dyDescent="0.25">
      <c r="B27" s="35" t="s">
        <v>3</v>
      </c>
      <c r="C27" s="36"/>
      <c r="D27" s="348"/>
      <c r="E27" s="348"/>
      <c r="F27" s="348"/>
      <c r="G27" s="348"/>
      <c r="H27" s="348"/>
      <c r="I27" s="348"/>
      <c r="J27" s="348"/>
      <c r="K27" s="348"/>
      <c r="L27" s="348"/>
      <c r="M27" s="348"/>
      <c r="N27" s="348"/>
      <c r="O27" s="348"/>
      <c r="P27" s="349"/>
      <c r="Q27" s="349"/>
    </row>
    <row r="28" spans="1:31" ht="15.9" customHeight="1" x14ac:dyDescent="0.25">
      <c r="B28" s="35" t="s">
        <v>11</v>
      </c>
      <c r="C28" s="36"/>
      <c r="D28" s="348"/>
      <c r="E28" s="348"/>
      <c r="F28" s="348"/>
      <c r="G28" s="348"/>
      <c r="H28" s="348"/>
      <c r="I28" s="348"/>
      <c r="J28" s="348"/>
      <c r="K28" s="348"/>
      <c r="L28" s="348"/>
      <c r="M28" s="348"/>
      <c r="N28" s="348"/>
      <c r="O28" s="348"/>
      <c r="P28" s="349"/>
      <c r="Q28" s="349"/>
    </row>
    <row r="29" spans="1:31" ht="15.9" customHeight="1" x14ac:dyDescent="0.25">
      <c r="B29" s="37" t="s">
        <v>1788</v>
      </c>
      <c r="C29" s="38"/>
      <c r="D29" s="347"/>
      <c r="E29" s="347"/>
      <c r="F29" s="347"/>
      <c r="G29" s="347"/>
      <c r="H29" s="347"/>
      <c r="I29" s="347"/>
      <c r="J29" s="347"/>
      <c r="K29" s="347"/>
      <c r="L29" s="347"/>
      <c r="M29" s="347"/>
      <c r="N29" s="347"/>
      <c r="O29" s="347"/>
      <c r="P29" s="312"/>
      <c r="Q29" s="312"/>
    </row>
    <row r="30" spans="1:31" ht="21" customHeight="1" x14ac:dyDescent="0.4">
      <c r="B30" s="7" t="s">
        <v>1798</v>
      </c>
      <c r="C30" s="30" t="s">
        <v>1782</v>
      </c>
      <c r="D30" s="76" t="str">
        <f>Schlüssel!$C$1</f>
        <v>Landesliga Nord Frauen</v>
      </c>
      <c r="F30" s="25"/>
      <c r="G30" s="25"/>
      <c r="H30" s="25"/>
      <c r="I30" s="25"/>
      <c r="K30" s="29"/>
      <c r="L30" s="362" t="str">
        <f>Schlüssel!$DI$1</f>
        <v>18.05.</v>
      </c>
      <c r="M30" s="362"/>
      <c r="N30" s="362"/>
      <c r="O30" s="362"/>
      <c r="P30" s="362"/>
      <c r="AE30" s="90"/>
    </row>
    <row r="31" spans="1:31" ht="17.25" customHeight="1" thickBot="1" x14ac:dyDescent="0.35">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VLOOKUP($B31,Schlüssel!$A$5:$DZ$10,113)</f>
        <v>0</v>
      </c>
      <c r="F33" s="47" t="s">
        <v>10</v>
      </c>
      <c r="G33" s="7">
        <f>VLOOKUP($B31,Schlüssel!$A$5:$DZ$10,114)</f>
        <v>0</v>
      </c>
      <c r="H33" s="47" t="s">
        <v>10</v>
      </c>
      <c r="I33" s="7">
        <f>VLOOKUP($B31,Schlüssel!$A$5:$DZ$10,115)</f>
        <v>0</v>
      </c>
      <c r="J33" s="47" t="s">
        <v>10</v>
      </c>
      <c r="K33" s="7">
        <f>VLOOKUP($B31,Schlüssel!$A$5:$DZ$10,116)</f>
        <v>0</v>
      </c>
      <c r="L33" s="47" t="s">
        <v>10</v>
      </c>
      <c r="M33" s="7">
        <f>VLOOKUP($B31,Schlüssel!$A$5:$DZ$10,117)</f>
        <v>0</v>
      </c>
      <c r="N33" s="43" t="s">
        <v>10</v>
      </c>
      <c r="O33" s="66">
        <f>VLOOKUP($B31,Schlüssel!$A$5:$DZ$10,118)</f>
        <v>0</v>
      </c>
    </row>
    <row r="34" spans="1:17" ht="20.25" customHeight="1" x14ac:dyDescent="0.25">
      <c r="B34" s="40" t="s">
        <v>1</v>
      </c>
      <c r="C34" s="41"/>
      <c r="D34" s="363" t="s">
        <v>1789</v>
      </c>
      <c r="E34" s="364"/>
      <c r="F34" s="363" t="s">
        <v>1790</v>
      </c>
      <c r="G34" s="364"/>
      <c r="H34" s="363" t="s">
        <v>1791</v>
      </c>
      <c r="I34" s="364"/>
      <c r="J34" s="363" t="s">
        <v>1792</v>
      </c>
      <c r="K34" s="364"/>
      <c r="L34" s="363" t="s">
        <v>1793</v>
      </c>
      <c r="M34" s="364"/>
      <c r="N34" s="363" t="s">
        <v>2088</v>
      </c>
      <c r="O34" s="364"/>
      <c r="P34" s="365" t="s">
        <v>1788</v>
      </c>
      <c r="Q34" s="36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9" t="s">
        <v>0</v>
      </c>
      <c r="B36" s="17"/>
      <c r="C36" s="18"/>
      <c r="D36" s="14"/>
      <c r="E36" s="356"/>
      <c r="F36" s="14"/>
      <c r="G36" s="356"/>
      <c r="H36" s="14"/>
      <c r="I36" s="356"/>
      <c r="J36" s="14"/>
      <c r="K36" s="356"/>
      <c r="L36" s="14"/>
      <c r="M36" s="356"/>
      <c r="N36" s="14"/>
      <c r="O36" s="356"/>
      <c r="P36" s="14"/>
      <c r="Q36" s="356"/>
    </row>
    <row r="37" spans="1:17" ht="17.100000000000001" customHeight="1" x14ac:dyDescent="0.25">
      <c r="A37" s="360"/>
      <c r="B37" s="19"/>
      <c r="C37" s="20"/>
      <c r="D37" s="15"/>
      <c r="E37" s="357"/>
      <c r="F37" s="15"/>
      <c r="G37" s="357"/>
      <c r="H37" s="15"/>
      <c r="I37" s="357"/>
      <c r="J37" s="15"/>
      <c r="K37" s="357"/>
      <c r="L37" s="15"/>
      <c r="M37" s="357"/>
      <c r="N37" s="15"/>
      <c r="O37" s="357"/>
      <c r="P37" s="15"/>
      <c r="Q37" s="357"/>
    </row>
    <row r="38" spans="1:17" ht="17.100000000000001" customHeight="1" thickBot="1" x14ac:dyDescent="0.3">
      <c r="A38" s="361"/>
      <c r="B38" s="21"/>
      <c r="C38" s="22"/>
      <c r="D38" s="9"/>
      <c r="E38" s="358"/>
      <c r="F38" s="9"/>
      <c r="G38" s="358"/>
      <c r="H38" s="9"/>
      <c r="I38" s="358"/>
      <c r="J38" s="9"/>
      <c r="K38" s="358"/>
      <c r="L38" s="9"/>
      <c r="M38" s="358"/>
      <c r="N38" s="9"/>
      <c r="O38" s="358"/>
      <c r="P38" s="9"/>
      <c r="Q38" s="358"/>
    </row>
    <row r="39" spans="1:17" ht="17.100000000000001" customHeight="1" x14ac:dyDescent="0.25">
      <c r="A39" s="359" t="s">
        <v>2</v>
      </c>
      <c r="B39" s="17"/>
      <c r="C39" s="18"/>
      <c r="D39" s="14"/>
      <c r="E39" s="356"/>
      <c r="F39" s="14"/>
      <c r="G39" s="356"/>
      <c r="H39" s="14"/>
      <c r="I39" s="356"/>
      <c r="J39" s="14"/>
      <c r="K39" s="356"/>
      <c r="L39" s="14"/>
      <c r="M39" s="356"/>
      <c r="N39" s="14"/>
      <c r="O39" s="356"/>
      <c r="P39" s="14"/>
      <c r="Q39" s="356"/>
    </row>
    <row r="40" spans="1:17" ht="17.100000000000001" customHeight="1" x14ac:dyDescent="0.25">
      <c r="A40" s="360"/>
      <c r="B40" s="19"/>
      <c r="C40" s="20"/>
      <c r="D40" s="15"/>
      <c r="E40" s="357"/>
      <c r="F40" s="15"/>
      <c r="G40" s="357"/>
      <c r="H40" s="15"/>
      <c r="I40" s="357"/>
      <c r="J40" s="15"/>
      <c r="K40" s="357"/>
      <c r="L40" s="15"/>
      <c r="M40" s="357"/>
      <c r="N40" s="15"/>
      <c r="O40" s="357"/>
      <c r="P40" s="15"/>
      <c r="Q40" s="357"/>
    </row>
    <row r="41" spans="1:17" ht="17.100000000000001" customHeight="1" thickBot="1" x14ac:dyDescent="0.3">
      <c r="A41" s="361"/>
      <c r="B41" s="21"/>
      <c r="C41" s="22"/>
      <c r="D41" s="9"/>
      <c r="E41" s="358"/>
      <c r="F41" s="9"/>
      <c r="G41" s="358"/>
      <c r="H41" s="9"/>
      <c r="I41" s="358"/>
      <c r="J41" s="9"/>
      <c r="K41" s="358"/>
      <c r="L41" s="9"/>
      <c r="M41" s="358"/>
      <c r="N41" s="9"/>
      <c r="O41" s="358"/>
      <c r="P41" s="9"/>
      <c r="Q41" s="358"/>
    </row>
    <row r="42" spans="1:17" ht="17.100000000000001" customHeight="1" x14ac:dyDescent="0.25">
      <c r="A42" s="359" t="s">
        <v>3</v>
      </c>
      <c r="B42" s="17"/>
      <c r="C42" s="18"/>
      <c r="D42" s="14"/>
      <c r="E42" s="356"/>
      <c r="F42" s="14"/>
      <c r="G42" s="356"/>
      <c r="H42" s="14"/>
      <c r="I42" s="356"/>
      <c r="J42" s="14"/>
      <c r="K42" s="356"/>
      <c r="L42" s="14"/>
      <c r="M42" s="356"/>
      <c r="N42" s="14"/>
      <c r="O42" s="356"/>
      <c r="P42" s="14"/>
      <c r="Q42" s="356"/>
    </row>
    <row r="43" spans="1:17" ht="17.100000000000001" customHeight="1" x14ac:dyDescent="0.25">
      <c r="A43" s="360"/>
      <c r="B43" s="19"/>
      <c r="C43" s="20"/>
      <c r="D43" s="15"/>
      <c r="E43" s="357"/>
      <c r="F43" s="15"/>
      <c r="G43" s="357"/>
      <c r="H43" s="15"/>
      <c r="I43" s="357"/>
      <c r="J43" s="15"/>
      <c r="K43" s="357"/>
      <c r="L43" s="15"/>
      <c r="M43" s="357"/>
      <c r="N43" s="15"/>
      <c r="O43" s="357"/>
      <c r="P43" s="15"/>
      <c r="Q43" s="357"/>
    </row>
    <row r="44" spans="1:17" ht="17.100000000000001" customHeight="1" thickBot="1" x14ac:dyDescent="0.3">
      <c r="A44" s="361"/>
      <c r="B44" s="21"/>
      <c r="C44" s="22"/>
      <c r="D44" s="9"/>
      <c r="E44" s="358"/>
      <c r="F44" s="9"/>
      <c r="G44" s="358"/>
      <c r="H44" s="9"/>
      <c r="I44" s="358"/>
      <c r="J44" s="9"/>
      <c r="K44" s="358"/>
      <c r="L44" s="9"/>
      <c r="M44" s="358"/>
      <c r="N44" s="9"/>
      <c r="O44" s="358"/>
      <c r="P44" s="9"/>
      <c r="Q44" s="358"/>
    </row>
    <row r="45" spans="1:17" ht="17.100000000000001" customHeight="1" x14ac:dyDescent="0.25">
      <c r="A45" s="359" t="s">
        <v>11</v>
      </c>
      <c r="B45" s="17"/>
      <c r="C45" s="18"/>
      <c r="D45" s="14"/>
      <c r="E45" s="356"/>
      <c r="F45" s="14"/>
      <c r="G45" s="356"/>
      <c r="H45" s="14"/>
      <c r="I45" s="356"/>
      <c r="J45" s="14"/>
      <c r="K45" s="356"/>
      <c r="L45" s="14"/>
      <c r="M45" s="356"/>
      <c r="N45" s="14"/>
      <c r="O45" s="356"/>
      <c r="P45" s="14"/>
      <c r="Q45" s="356"/>
    </row>
    <row r="46" spans="1:17" ht="17.100000000000001" customHeight="1" x14ac:dyDescent="0.25">
      <c r="A46" s="360"/>
      <c r="B46" s="19"/>
      <c r="C46" s="20"/>
      <c r="D46" s="15"/>
      <c r="E46" s="357"/>
      <c r="F46" s="15"/>
      <c r="G46" s="357"/>
      <c r="H46" s="15"/>
      <c r="I46" s="357"/>
      <c r="J46" s="15"/>
      <c r="K46" s="357"/>
      <c r="L46" s="15"/>
      <c r="M46" s="357"/>
      <c r="N46" s="15"/>
      <c r="O46" s="357"/>
      <c r="P46" s="15"/>
      <c r="Q46" s="357"/>
    </row>
    <row r="47" spans="1:17" ht="17.100000000000001" customHeight="1" thickBot="1" x14ac:dyDescent="0.3">
      <c r="A47" s="361"/>
      <c r="B47" s="21"/>
      <c r="C47" s="22"/>
      <c r="D47" s="9"/>
      <c r="E47" s="358"/>
      <c r="F47" s="9"/>
      <c r="G47" s="358"/>
      <c r="H47" s="9"/>
      <c r="I47" s="358"/>
      <c r="J47" s="9"/>
      <c r="K47" s="358"/>
      <c r="L47" s="9"/>
      <c r="M47" s="358"/>
      <c r="N47" s="9"/>
      <c r="O47" s="358"/>
      <c r="P47" s="9"/>
      <c r="Q47" s="358"/>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4">
        <f>VLOOKUP(B31,Schlüssel!$A$5:$DF$10,83)</f>
        <v>3</v>
      </c>
      <c r="E51" s="354"/>
      <c r="F51" s="354">
        <f>VLOOKUP(B31,Schlüssel!$A$5:$DF$10,84)</f>
        <v>3</v>
      </c>
      <c r="G51" s="354"/>
      <c r="H51" s="354">
        <f>VLOOKUP(B31,Schlüssel!$A$5:$DF$10,85)</f>
        <v>3</v>
      </c>
      <c r="I51" s="354"/>
      <c r="J51" s="354">
        <f>VLOOKUP(B31,Schlüssel!$A$5:$DF$10,86)</f>
        <v>3</v>
      </c>
      <c r="K51" s="354"/>
      <c r="L51" s="354">
        <f>VLOOKUP(B31,Schlüssel!$A$5:$DF$10,87)</f>
        <v>3</v>
      </c>
      <c r="M51" s="354"/>
      <c r="N51" s="354">
        <f>VLOOKUP(B31,Schlüssel!$A$5:$DF$10,88)</f>
        <v>3</v>
      </c>
      <c r="O51" s="354"/>
      <c r="P51" s="355"/>
      <c r="Q51" s="355"/>
    </row>
    <row r="52" spans="1:31" ht="28.5" customHeight="1" x14ac:dyDescent="0.25">
      <c r="B52" s="4"/>
      <c r="C52" s="1"/>
      <c r="D52" s="351" t="str">
        <f>VLOOKUP(D51,Schlüssel!$A$5:$K$10,2)</f>
        <v>Mainauenbowler Bayreuth Land</v>
      </c>
      <c r="E52" s="352"/>
      <c r="F52" s="351" t="str">
        <f>VLOOKUP(F51,Schlüssel!$A$5:$K$10,2)</f>
        <v>Mainauenbowler Bayreuth Land</v>
      </c>
      <c r="G52" s="352"/>
      <c r="H52" s="351" t="str">
        <f>VLOOKUP(H51,Schlüssel!$A$5:$K$10,2)</f>
        <v>Mainauenbowler Bayreuth Land</v>
      </c>
      <c r="I52" s="352"/>
      <c r="J52" s="351" t="str">
        <f>VLOOKUP(J51,Schlüssel!$A$5:$K$10,2)</f>
        <v>Mainauenbowler Bayreuth Land</v>
      </c>
      <c r="K52" s="352"/>
      <c r="L52" s="351" t="str">
        <f>VLOOKUP(L51,Schlüssel!$A$5:$K$10,2)</f>
        <v>Mainauenbowler Bayreuth Land</v>
      </c>
      <c r="M52" s="352"/>
      <c r="N52" s="351" t="str">
        <f>VLOOKUP(N51,Schlüssel!$A$5:$K$10,2)</f>
        <v>Mainauenbowler Bayreuth Land</v>
      </c>
      <c r="O52" s="352"/>
      <c r="P52" s="353"/>
      <c r="Q52" s="353"/>
    </row>
    <row r="53" spans="1:31" ht="12" customHeight="1" x14ac:dyDescent="0.25">
      <c r="B53" s="4"/>
      <c r="C53" s="1"/>
      <c r="D53" s="350"/>
      <c r="E53" s="350"/>
      <c r="F53" s="350"/>
      <c r="G53" s="350"/>
      <c r="H53" s="350"/>
      <c r="I53" s="350"/>
      <c r="J53" s="350"/>
      <c r="K53" s="350"/>
      <c r="L53" s="350"/>
      <c r="M53" s="350"/>
      <c r="N53" s="350"/>
      <c r="O53" s="350"/>
      <c r="P53" s="307"/>
      <c r="Q53" s="307"/>
    </row>
    <row r="54" spans="1:31" ht="15.9" customHeight="1" x14ac:dyDescent="0.25">
      <c r="B54" s="35" t="s">
        <v>0</v>
      </c>
      <c r="C54" s="36"/>
      <c r="D54" s="348"/>
      <c r="E54" s="348"/>
      <c r="F54" s="348"/>
      <c r="G54" s="348"/>
      <c r="H54" s="348"/>
      <c r="I54" s="348"/>
      <c r="J54" s="348"/>
      <c r="K54" s="348"/>
      <c r="L54" s="348"/>
      <c r="M54" s="348"/>
      <c r="N54" s="348"/>
      <c r="O54" s="348"/>
      <c r="P54" s="349"/>
      <c r="Q54" s="349"/>
    </row>
    <row r="55" spans="1:31" ht="15.9" customHeight="1" x14ac:dyDescent="0.25">
      <c r="B55" s="35" t="s">
        <v>2</v>
      </c>
      <c r="C55" s="36"/>
      <c r="D55" s="348"/>
      <c r="E55" s="348"/>
      <c r="F55" s="348"/>
      <c r="G55" s="348"/>
      <c r="H55" s="348"/>
      <c r="I55" s="348"/>
      <c r="J55" s="348"/>
      <c r="K55" s="348"/>
      <c r="L55" s="348"/>
      <c r="M55" s="348"/>
      <c r="N55" s="348"/>
      <c r="O55" s="348"/>
      <c r="P55" s="349"/>
      <c r="Q55" s="349"/>
    </row>
    <row r="56" spans="1:31" ht="15.9" customHeight="1" x14ac:dyDescent="0.25">
      <c r="B56" s="35" t="s">
        <v>3</v>
      </c>
      <c r="C56" s="36"/>
      <c r="D56" s="348"/>
      <c r="E56" s="348"/>
      <c r="F56" s="348"/>
      <c r="G56" s="348"/>
      <c r="H56" s="348"/>
      <c r="I56" s="348"/>
      <c r="J56" s="348"/>
      <c r="K56" s="348"/>
      <c r="L56" s="348"/>
      <c r="M56" s="348"/>
      <c r="N56" s="348"/>
      <c r="O56" s="348"/>
      <c r="P56" s="349"/>
      <c r="Q56" s="349"/>
    </row>
    <row r="57" spans="1:31" ht="15.9" customHeight="1" x14ac:dyDescent="0.25">
      <c r="B57" s="35" t="s">
        <v>11</v>
      </c>
      <c r="C57" s="36"/>
      <c r="D57" s="348"/>
      <c r="E57" s="348"/>
      <c r="F57" s="348"/>
      <c r="G57" s="348"/>
      <c r="H57" s="348"/>
      <c r="I57" s="348"/>
      <c r="J57" s="348"/>
      <c r="K57" s="348"/>
      <c r="L57" s="348"/>
      <c r="M57" s="348"/>
      <c r="N57" s="348"/>
      <c r="O57" s="348"/>
      <c r="P57" s="349"/>
      <c r="Q57" s="349"/>
    </row>
    <row r="58" spans="1:31" ht="15.9" customHeight="1" x14ac:dyDescent="0.25">
      <c r="B58" s="37" t="s">
        <v>1788</v>
      </c>
      <c r="C58" s="38"/>
      <c r="D58" s="347"/>
      <c r="E58" s="347"/>
      <c r="F58" s="347"/>
      <c r="G58" s="347"/>
      <c r="H58" s="347"/>
      <c r="I58" s="347"/>
      <c r="J58" s="347"/>
      <c r="K58" s="347"/>
      <c r="L58" s="347"/>
      <c r="M58" s="347"/>
      <c r="N58" s="347"/>
      <c r="O58" s="347"/>
      <c r="P58" s="312"/>
      <c r="Q58" s="312"/>
    </row>
    <row r="59" spans="1:31" ht="21" customHeight="1" x14ac:dyDescent="0.4">
      <c r="B59" s="7" t="s">
        <v>1798</v>
      </c>
      <c r="C59" s="30" t="s">
        <v>1782</v>
      </c>
      <c r="D59" s="76" t="str">
        <f>Schlüssel!$C$1</f>
        <v>Landesliga Nord Frauen</v>
      </c>
      <c r="F59" s="25"/>
      <c r="G59" s="25"/>
      <c r="H59" s="25"/>
      <c r="I59" s="25"/>
      <c r="K59" s="29"/>
      <c r="L59" s="362" t="str">
        <f>Schlüssel!$DI$1</f>
        <v>18.05.</v>
      </c>
      <c r="M59" s="362"/>
      <c r="N59" s="362"/>
      <c r="O59" s="362"/>
      <c r="P59" s="362"/>
      <c r="AE59" s="90"/>
    </row>
    <row r="60" spans="1:31" ht="17.25" customHeight="1" thickBot="1" x14ac:dyDescent="0.35">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VLOOKUP($B60,Schlüssel!$A$5:$DZ$10,113)</f>
        <v>21</v>
      </c>
      <c r="F62" s="47" t="s">
        <v>10</v>
      </c>
      <c r="G62" s="7">
        <f>VLOOKUP($B60,Schlüssel!$A$5:$DZ$10,114)</f>
        <v>22</v>
      </c>
      <c r="H62" s="47" t="s">
        <v>10</v>
      </c>
      <c r="I62" s="7">
        <f>VLOOKUP($B60,Schlüssel!$A$5:$DZ$10,115)</f>
        <v>21</v>
      </c>
      <c r="J62" s="47" t="s">
        <v>10</v>
      </c>
      <c r="K62" s="7">
        <f>VLOOKUP($B60,Schlüssel!$A$5:$DZ$10,116)</f>
        <v>22</v>
      </c>
      <c r="L62" s="47" t="s">
        <v>10</v>
      </c>
      <c r="M62" s="7">
        <f>VLOOKUP($B60,Schlüssel!$A$5:$DZ$10,117)</f>
        <v>21</v>
      </c>
      <c r="N62" s="43" t="s">
        <v>10</v>
      </c>
      <c r="O62" s="66">
        <f>VLOOKUP($B60,Schlüssel!$A$5:$DZ$10,118)</f>
        <v>22</v>
      </c>
    </row>
    <row r="63" spans="1:31" ht="20.25" customHeight="1" x14ac:dyDescent="0.25">
      <c r="B63" s="40" t="s">
        <v>1</v>
      </c>
      <c r="C63" s="41"/>
      <c r="D63" s="363" t="s">
        <v>1789</v>
      </c>
      <c r="E63" s="364"/>
      <c r="F63" s="363" t="s">
        <v>1790</v>
      </c>
      <c r="G63" s="364"/>
      <c r="H63" s="363" t="s">
        <v>1791</v>
      </c>
      <c r="I63" s="364"/>
      <c r="J63" s="363" t="s">
        <v>1792</v>
      </c>
      <c r="K63" s="364"/>
      <c r="L63" s="363" t="s">
        <v>1793</v>
      </c>
      <c r="M63" s="364"/>
      <c r="N63" s="363" t="s">
        <v>2088</v>
      </c>
      <c r="O63" s="364"/>
      <c r="P63" s="365" t="s">
        <v>1788</v>
      </c>
      <c r="Q63" s="36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9" t="s">
        <v>0</v>
      </c>
      <c r="B65" s="17"/>
      <c r="C65" s="18"/>
      <c r="D65" s="14"/>
      <c r="E65" s="356"/>
      <c r="F65" s="14"/>
      <c r="G65" s="356"/>
      <c r="H65" s="14"/>
      <c r="I65" s="356"/>
      <c r="J65" s="14"/>
      <c r="K65" s="356"/>
      <c r="L65" s="14"/>
      <c r="M65" s="356"/>
      <c r="N65" s="14"/>
      <c r="O65" s="356"/>
      <c r="P65" s="14"/>
      <c r="Q65" s="356"/>
    </row>
    <row r="66" spans="1:17" ht="17.100000000000001" customHeight="1" x14ac:dyDescent="0.25">
      <c r="A66" s="360"/>
      <c r="B66" s="19"/>
      <c r="C66" s="20"/>
      <c r="D66" s="15"/>
      <c r="E66" s="357"/>
      <c r="F66" s="15"/>
      <c r="G66" s="357"/>
      <c r="H66" s="15"/>
      <c r="I66" s="357"/>
      <c r="J66" s="15"/>
      <c r="K66" s="357"/>
      <c r="L66" s="15"/>
      <c r="M66" s="357"/>
      <c r="N66" s="15"/>
      <c r="O66" s="357"/>
      <c r="P66" s="15"/>
      <c r="Q66" s="357"/>
    </row>
    <row r="67" spans="1:17" ht="17.100000000000001" customHeight="1" thickBot="1" x14ac:dyDescent="0.3">
      <c r="A67" s="361"/>
      <c r="B67" s="21"/>
      <c r="C67" s="22"/>
      <c r="D67" s="9"/>
      <c r="E67" s="358"/>
      <c r="F67" s="9"/>
      <c r="G67" s="358"/>
      <c r="H67" s="9"/>
      <c r="I67" s="358"/>
      <c r="J67" s="9"/>
      <c r="K67" s="358"/>
      <c r="L67" s="9"/>
      <c r="M67" s="358"/>
      <c r="N67" s="9"/>
      <c r="O67" s="358"/>
      <c r="P67" s="9"/>
      <c r="Q67" s="358"/>
    </row>
    <row r="68" spans="1:17" ht="17.100000000000001" customHeight="1" x14ac:dyDescent="0.25">
      <c r="A68" s="359" t="s">
        <v>2</v>
      </c>
      <c r="B68" s="17"/>
      <c r="C68" s="18"/>
      <c r="D68" s="14"/>
      <c r="E68" s="356"/>
      <c r="F68" s="14"/>
      <c r="G68" s="356"/>
      <c r="H68" s="14"/>
      <c r="I68" s="356"/>
      <c r="J68" s="14"/>
      <c r="K68" s="356"/>
      <c r="L68" s="14"/>
      <c r="M68" s="356"/>
      <c r="N68" s="14"/>
      <c r="O68" s="356"/>
      <c r="P68" s="14"/>
      <c r="Q68" s="356"/>
    </row>
    <row r="69" spans="1:17" ht="17.100000000000001" customHeight="1" x14ac:dyDescent="0.25">
      <c r="A69" s="360"/>
      <c r="B69" s="19"/>
      <c r="C69" s="20"/>
      <c r="D69" s="15"/>
      <c r="E69" s="357"/>
      <c r="F69" s="15"/>
      <c r="G69" s="357"/>
      <c r="H69" s="15"/>
      <c r="I69" s="357"/>
      <c r="J69" s="15"/>
      <c r="K69" s="357"/>
      <c r="L69" s="15"/>
      <c r="M69" s="357"/>
      <c r="N69" s="15"/>
      <c r="O69" s="357"/>
      <c r="P69" s="15"/>
      <c r="Q69" s="357"/>
    </row>
    <row r="70" spans="1:17" ht="17.100000000000001" customHeight="1" thickBot="1" x14ac:dyDescent="0.3">
      <c r="A70" s="361"/>
      <c r="B70" s="21"/>
      <c r="C70" s="22"/>
      <c r="D70" s="9"/>
      <c r="E70" s="358"/>
      <c r="F70" s="9"/>
      <c r="G70" s="358"/>
      <c r="H70" s="9"/>
      <c r="I70" s="358"/>
      <c r="J70" s="9"/>
      <c r="K70" s="358"/>
      <c r="L70" s="9"/>
      <c r="M70" s="358"/>
      <c r="N70" s="9"/>
      <c r="O70" s="358"/>
      <c r="P70" s="9"/>
      <c r="Q70" s="358"/>
    </row>
    <row r="71" spans="1:17" ht="17.100000000000001" customHeight="1" x14ac:dyDescent="0.25">
      <c r="A71" s="359" t="s">
        <v>3</v>
      </c>
      <c r="B71" s="17"/>
      <c r="C71" s="18"/>
      <c r="D71" s="14"/>
      <c r="E71" s="356"/>
      <c r="F71" s="14"/>
      <c r="G71" s="356"/>
      <c r="H71" s="14"/>
      <c r="I71" s="356"/>
      <c r="J71" s="14"/>
      <c r="K71" s="356"/>
      <c r="L71" s="14"/>
      <c r="M71" s="356"/>
      <c r="N71" s="14"/>
      <c r="O71" s="356"/>
      <c r="P71" s="14"/>
      <c r="Q71" s="356"/>
    </row>
    <row r="72" spans="1:17" ht="17.100000000000001" customHeight="1" x14ac:dyDescent="0.25">
      <c r="A72" s="360"/>
      <c r="B72" s="19"/>
      <c r="C72" s="20"/>
      <c r="D72" s="15"/>
      <c r="E72" s="357"/>
      <c r="F72" s="15"/>
      <c r="G72" s="357"/>
      <c r="H72" s="15"/>
      <c r="I72" s="357"/>
      <c r="J72" s="15"/>
      <c r="K72" s="357"/>
      <c r="L72" s="15"/>
      <c r="M72" s="357"/>
      <c r="N72" s="15"/>
      <c r="O72" s="357"/>
      <c r="P72" s="15"/>
      <c r="Q72" s="357"/>
    </row>
    <row r="73" spans="1:17" ht="17.100000000000001" customHeight="1" thickBot="1" x14ac:dyDescent="0.3">
      <c r="A73" s="361"/>
      <c r="B73" s="21"/>
      <c r="C73" s="22"/>
      <c r="D73" s="9"/>
      <c r="E73" s="358"/>
      <c r="F73" s="9"/>
      <c r="G73" s="358"/>
      <c r="H73" s="9"/>
      <c r="I73" s="358"/>
      <c r="J73" s="9"/>
      <c r="K73" s="358"/>
      <c r="L73" s="9"/>
      <c r="M73" s="358"/>
      <c r="N73" s="9"/>
      <c r="O73" s="358"/>
      <c r="P73" s="9"/>
      <c r="Q73" s="358"/>
    </row>
    <row r="74" spans="1:17" ht="17.100000000000001" customHeight="1" x14ac:dyDescent="0.25">
      <c r="A74" s="359" t="s">
        <v>11</v>
      </c>
      <c r="B74" s="17"/>
      <c r="C74" s="18"/>
      <c r="D74" s="14"/>
      <c r="E74" s="356"/>
      <c r="F74" s="14"/>
      <c r="G74" s="356"/>
      <c r="H74" s="14"/>
      <c r="I74" s="356"/>
      <c r="J74" s="14"/>
      <c r="K74" s="356"/>
      <c r="L74" s="14"/>
      <c r="M74" s="356"/>
      <c r="N74" s="14"/>
      <c r="O74" s="356"/>
      <c r="P74" s="14"/>
      <c r="Q74" s="356"/>
    </row>
    <row r="75" spans="1:17" ht="17.100000000000001" customHeight="1" x14ac:dyDescent="0.25">
      <c r="A75" s="360"/>
      <c r="B75" s="19"/>
      <c r="C75" s="20"/>
      <c r="D75" s="15"/>
      <c r="E75" s="357"/>
      <c r="F75" s="15"/>
      <c r="G75" s="357"/>
      <c r="H75" s="15"/>
      <c r="I75" s="357"/>
      <c r="J75" s="15"/>
      <c r="K75" s="357"/>
      <c r="L75" s="15"/>
      <c r="M75" s="357"/>
      <c r="N75" s="15"/>
      <c r="O75" s="357"/>
      <c r="P75" s="15"/>
      <c r="Q75" s="357"/>
    </row>
    <row r="76" spans="1:17" ht="17.100000000000001" customHeight="1" thickBot="1" x14ac:dyDescent="0.3">
      <c r="A76" s="361"/>
      <c r="B76" s="21"/>
      <c r="C76" s="22"/>
      <c r="D76" s="9"/>
      <c r="E76" s="358"/>
      <c r="F76" s="9"/>
      <c r="G76" s="358"/>
      <c r="H76" s="9"/>
      <c r="I76" s="358"/>
      <c r="J76" s="9"/>
      <c r="K76" s="358"/>
      <c r="L76" s="9"/>
      <c r="M76" s="358"/>
      <c r="N76" s="9"/>
      <c r="O76" s="358"/>
      <c r="P76" s="9"/>
      <c r="Q76" s="358"/>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4">
        <f>VLOOKUP(B60,Schlüssel!$A$5:$DF$10,83)</f>
        <v>2</v>
      </c>
      <c r="E80" s="354"/>
      <c r="F80" s="354">
        <f>VLOOKUP(B60,Schlüssel!$A$5:$DF$10,84)</f>
        <v>2</v>
      </c>
      <c r="G80" s="354"/>
      <c r="H80" s="354">
        <f>VLOOKUP(B60,Schlüssel!$A$5:$DF$10,85)</f>
        <v>2</v>
      </c>
      <c r="I80" s="354"/>
      <c r="J80" s="354">
        <f>VLOOKUP(B60,Schlüssel!$A$5:$DF$10,86)</f>
        <v>2</v>
      </c>
      <c r="K80" s="354"/>
      <c r="L80" s="354">
        <f>VLOOKUP(B60,Schlüssel!$A$5:$DF$10,87)</f>
        <v>2</v>
      </c>
      <c r="M80" s="354"/>
      <c r="N80" s="354">
        <f>VLOOKUP(B60,Schlüssel!$A$5:$DF$10,88)</f>
        <v>2</v>
      </c>
      <c r="O80" s="354"/>
      <c r="P80" s="355"/>
      <c r="Q80" s="355"/>
    </row>
    <row r="81" spans="2:17" ht="28.5" customHeight="1" x14ac:dyDescent="0.25">
      <c r="B81" s="4"/>
      <c r="C81" s="1"/>
      <c r="D81" s="351" t="str">
        <f>VLOOKUP(D80,Schlüssel!$A$5:$K$10,2)</f>
        <v>BC Phönix Lauf</v>
      </c>
      <c r="E81" s="352"/>
      <c r="F81" s="351" t="str">
        <f>VLOOKUP(F80,Schlüssel!$A$5:$K$10,2)</f>
        <v>BC Phönix Lauf</v>
      </c>
      <c r="G81" s="352"/>
      <c r="H81" s="351" t="str">
        <f>VLOOKUP(H80,Schlüssel!$A$5:$K$10,2)</f>
        <v>BC Phönix Lauf</v>
      </c>
      <c r="I81" s="352"/>
      <c r="J81" s="351" t="str">
        <f>VLOOKUP(J80,Schlüssel!$A$5:$K$10,2)</f>
        <v>BC Phönix Lauf</v>
      </c>
      <c r="K81" s="352"/>
      <c r="L81" s="351" t="str">
        <f>VLOOKUP(L80,Schlüssel!$A$5:$K$10,2)</f>
        <v>BC Phönix Lauf</v>
      </c>
      <c r="M81" s="352"/>
      <c r="N81" s="351" t="str">
        <f>VLOOKUP(N80,Schlüssel!$A$5:$K$10,2)</f>
        <v>BC Phönix Lauf</v>
      </c>
      <c r="O81" s="352"/>
      <c r="P81" s="353"/>
      <c r="Q81" s="353"/>
    </row>
    <row r="82" spans="2:17" ht="12" customHeight="1" x14ac:dyDescent="0.25">
      <c r="B82" s="4"/>
      <c r="C82" s="1"/>
      <c r="D82" s="350"/>
      <c r="E82" s="350"/>
      <c r="F82" s="350"/>
      <c r="G82" s="350"/>
      <c r="H82" s="350"/>
      <c r="I82" s="350"/>
      <c r="J82" s="350"/>
      <c r="K82" s="350"/>
      <c r="L82" s="350"/>
      <c r="M82" s="350"/>
      <c r="N82" s="350"/>
      <c r="O82" s="350"/>
      <c r="P82" s="307"/>
      <c r="Q82" s="307"/>
    </row>
    <row r="83" spans="2:17" ht="15.9" customHeight="1" x14ac:dyDescent="0.25">
      <c r="B83" s="35" t="s">
        <v>0</v>
      </c>
      <c r="C83" s="36"/>
      <c r="D83" s="348"/>
      <c r="E83" s="348"/>
      <c r="F83" s="348"/>
      <c r="G83" s="348"/>
      <c r="H83" s="348"/>
      <c r="I83" s="348"/>
      <c r="J83" s="348"/>
      <c r="K83" s="348"/>
      <c r="L83" s="348"/>
      <c r="M83" s="348"/>
      <c r="N83" s="348"/>
      <c r="O83" s="348"/>
      <c r="P83" s="349"/>
      <c r="Q83" s="349"/>
    </row>
    <row r="84" spans="2:17" ht="15.9" customHeight="1" x14ac:dyDescent="0.25">
      <c r="B84" s="35" t="s">
        <v>2</v>
      </c>
      <c r="C84" s="36"/>
      <c r="D84" s="348"/>
      <c r="E84" s="348"/>
      <c r="F84" s="348"/>
      <c r="G84" s="348"/>
      <c r="H84" s="348"/>
      <c r="I84" s="348"/>
      <c r="J84" s="348"/>
      <c r="K84" s="348"/>
      <c r="L84" s="348"/>
      <c r="M84" s="348"/>
      <c r="N84" s="348"/>
      <c r="O84" s="348"/>
      <c r="P84" s="349"/>
      <c r="Q84" s="349"/>
    </row>
    <row r="85" spans="2:17" ht="15.9" customHeight="1" x14ac:dyDescent="0.25">
      <c r="B85" s="35" t="s">
        <v>3</v>
      </c>
      <c r="C85" s="36"/>
      <c r="D85" s="348"/>
      <c r="E85" s="348"/>
      <c r="F85" s="348"/>
      <c r="G85" s="348"/>
      <c r="H85" s="348"/>
      <c r="I85" s="348"/>
      <c r="J85" s="348"/>
      <c r="K85" s="348"/>
      <c r="L85" s="348"/>
      <c r="M85" s="348"/>
      <c r="N85" s="348"/>
      <c r="O85" s="348"/>
      <c r="P85" s="349"/>
      <c r="Q85" s="349"/>
    </row>
    <row r="86" spans="2:17" ht="15.9" customHeight="1" x14ac:dyDescent="0.25">
      <c r="B86" s="35" t="s">
        <v>11</v>
      </c>
      <c r="C86" s="36"/>
      <c r="D86" s="348"/>
      <c r="E86" s="348"/>
      <c r="F86" s="348"/>
      <c r="G86" s="348"/>
      <c r="H86" s="348"/>
      <c r="I86" s="348"/>
      <c r="J86" s="348"/>
      <c r="K86" s="348"/>
      <c r="L86" s="348"/>
      <c r="M86" s="348"/>
      <c r="N86" s="348"/>
      <c r="O86" s="348"/>
      <c r="P86" s="349"/>
      <c r="Q86" s="349"/>
    </row>
    <row r="87" spans="2:17" ht="15.9" customHeight="1" x14ac:dyDescent="0.25">
      <c r="B87" s="37" t="s">
        <v>1788</v>
      </c>
      <c r="C87" s="38"/>
      <c r="D87" s="347"/>
      <c r="E87" s="347"/>
      <c r="F87" s="347"/>
      <c r="G87" s="347"/>
      <c r="H87" s="347"/>
      <c r="I87" s="347"/>
      <c r="J87" s="347"/>
      <c r="K87" s="347"/>
      <c r="L87" s="347"/>
      <c r="M87" s="347"/>
      <c r="N87" s="347"/>
      <c r="O87" s="347"/>
      <c r="P87" s="312"/>
      <c r="Q87" s="312"/>
    </row>
  </sheetData>
  <sheetProtection password="D19C" sheet="1"/>
  <mergeCells count="288">
    <mergeCell ref="D87:E87"/>
    <mergeCell ref="F87:G87"/>
    <mergeCell ref="H87:I87"/>
    <mergeCell ref="J87:K87"/>
    <mergeCell ref="L87:M87"/>
    <mergeCell ref="N87:O87"/>
    <mergeCell ref="P87:Q87"/>
    <mergeCell ref="D86:E86"/>
    <mergeCell ref="F86:G86"/>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3:E83"/>
    <mergeCell ref="F83:G83"/>
    <mergeCell ref="H83:I83"/>
    <mergeCell ref="J83:K83"/>
    <mergeCell ref="L83:M83"/>
    <mergeCell ref="N83:O83"/>
    <mergeCell ref="P83:Q83"/>
    <mergeCell ref="D82:E82"/>
    <mergeCell ref="F82:G82"/>
    <mergeCell ref="H82:I82"/>
    <mergeCell ref="J82:K82"/>
    <mergeCell ref="L82:M82"/>
    <mergeCell ref="N82:O82"/>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D58:E58"/>
    <mergeCell ref="F58:G58"/>
    <mergeCell ref="H58:I58"/>
    <mergeCell ref="J58:K58"/>
    <mergeCell ref="L58:M58"/>
    <mergeCell ref="N58:O58"/>
    <mergeCell ref="P58:Q58"/>
    <mergeCell ref="D57:E57"/>
    <mergeCell ref="F57:G57"/>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4:E54"/>
    <mergeCell ref="F54:G54"/>
    <mergeCell ref="H54:I54"/>
    <mergeCell ref="J54:K54"/>
    <mergeCell ref="L54:M54"/>
    <mergeCell ref="N54:O54"/>
    <mergeCell ref="P54:Q54"/>
    <mergeCell ref="D53:E53"/>
    <mergeCell ref="F53:G53"/>
    <mergeCell ref="H53:I53"/>
    <mergeCell ref="J53:K53"/>
    <mergeCell ref="L53:M53"/>
    <mergeCell ref="N53:O53"/>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D29:E29"/>
    <mergeCell ref="F29:G29"/>
    <mergeCell ref="H29:I29"/>
    <mergeCell ref="J29:K29"/>
    <mergeCell ref="L29:M29"/>
    <mergeCell ref="N29:O29"/>
    <mergeCell ref="P29:Q29"/>
    <mergeCell ref="D28:E28"/>
    <mergeCell ref="F28:G28"/>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5:E25"/>
    <mergeCell ref="F25:G25"/>
    <mergeCell ref="H25:I25"/>
    <mergeCell ref="J25:K25"/>
    <mergeCell ref="L25:M25"/>
    <mergeCell ref="N25:O25"/>
    <mergeCell ref="P25:Q25"/>
    <mergeCell ref="D24:E24"/>
    <mergeCell ref="F24:G24"/>
    <mergeCell ref="H24:I24"/>
    <mergeCell ref="J24:K24"/>
    <mergeCell ref="L24:M24"/>
    <mergeCell ref="N24:O24"/>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BZ90"/>
  <sheetViews>
    <sheetView view="pageBreakPreview" topLeftCell="R1" zoomScaleNormal="100" zoomScaleSheetLayoutView="100" workbookViewId="0">
      <selection activeCell="A9" sqref="A9: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80"/>
      <c r="N1" s="380" t="str">
        <f>AD1</f>
        <v>18.05.</v>
      </c>
      <c r="O1" s="380"/>
      <c r="P1" s="381"/>
      <c r="Q1" s="381"/>
      <c r="R1" s="381"/>
      <c r="S1" s="7" t="s">
        <v>1798</v>
      </c>
      <c r="T1" s="25"/>
      <c r="U1" s="30" t="s">
        <v>1782</v>
      </c>
      <c r="V1" s="76" t="str">
        <f>Schlüssel!$C$1</f>
        <v>Landesliga Nord Frauen</v>
      </c>
      <c r="X1" s="25"/>
      <c r="Y1" s="25"/>
      <c r="Z1" s="25"/>
      <c r="AA1" s="25"/>
      <c r="AC1" s="29"/>
      <c r="AD1" s="362" t="str">
        <f>Schlüssel!$DI$1</f>
        <v>18.05.</v>
      </c>
      <c r="AE1" s="362"/>
      <c r="AF1" s="362"/>
      <c r="AG1" s="362"/>
      <c r="AH1" s="362"/>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22</v>
      </c>
      <c r="W4" s="192" t="s">
        <v>10</v>
      </c>
      <c r="X4" s="190">
        <f>VLOOKUP($B2,Schlüssel!$A$5:$DZ$10,114)</f>
        <v>21</v>
      </c>
      <c r="Y4" s="192" t="s">
        <v>10</v>
      </c>
      <c r="Z4" s="190">
        <f>VLOOKUP($B2,Schlüssel!$A$5:$DZ$10,115)</f>
        <v>22</v>
      </c>
      <c r="AA4" s="192" t="s">
        <v>10</v>
      </c>
      <c r="AB4" s="190">
        <f>VLOOKUP($B2,Schlüssel!$A$5:$DZ$10,116)</f>
        <v>21</v>
      </c>
      <c r="AC4" s="192" t="s">
        <v>10</v>
      </c>
      <c r="AD4" s="191">
        <f>VLOOKUP($B2,Schlüssel!$A$5:$DZ$10,117)</f>
        <v>22</v>
      </c>
      <c r="AE4" s="192" t="s">
        <v>10</v>
      </c>
      <c r="AF4" s="191">
        <f>VLOOKUP($B2,Schlüssel!$A$5:$DZ$10,118)</f>
        <v>21</v>
      </c>
      <c r="BA4" s="220"/>
      <c r="BB4" s="221"/>
      <c r="BC4" s="222"/>
      <c r="BN4" s="224"/>
      <c r="BO4" s="222"/>
      <c r="BS4" s="222"/>
      <c r="BT4" s="224"/>
      <c r="BW4" s="222"/>
    </row>
    <row r="5" spans="1:75" ht="20.25" customHeight="1" x14ac:dyDescent="0.25">
      <c r="B5" s="40" t="s">
        <v>1</v>
      </c>
      <c r="C5" s="41"/>
      <c r="D5" s="363" t="s">
        <v>1789</v>
      </c>
      <c r="E5" s="364"/>
      <c r="F5" s="363" t="s">
        <v>1790</v>
      </c>
      <c r="G5" s="364"/>
      <c r="H5" s="363" t="s">
        <v>1791</v>
      </c>
      <c r="I5" s="364"/>
      <c r="J5" s="363" t="s">
        <v>1792</v>
      </c>
      <c r="K5" s="364"/>
      <c r="L5" s="363" t="s">
        <v>1793</v>
      </c>
      <c r="M5" s="364"/>
      <c r="N5" s="365" t="s">
        <v>1788</v>
      </c>
      <c r="O5" s="366"/>
      <c r="S5" s="40" t="s">
        <v>1</v>
      </c>
      <c r="T5" s="41"/>
      <c r="U5" s="363" t="s">
        <v>1789</v>
      </c>
      <c r="V5" s="364"/>
      <c r="W5" s="363" t="s">
        <v>1790</v>
      </c>
      <c r="X5" s="364"/>
      <c r="Y5" s="363" t="s">
        <v>1791</v>
      </c>
      <c r="Z5" s="364"/>
      <c r="AA5" s="363" t="s">
        <v>1792</v>
      </c>
      <c r="AB5" s="364"/>
      <c r="AC5" s="363" t="s">
        <v>1793</v>
      </c>
      <c r="AD5" s="368"/>
      <c r="AE5" s="363" t="s">
        <v>2088</v>
      </c>
      <c r="AF5" s="368"/>
      <c r="AG5" s="367" t="s">
        <v>1788</v>
      </c>
      <c r="AH5" s="36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7" t="s">
        <v>0</v>
      </c>
      <c r="B7" s="17" t="str">
        <f>IF(S7=0,"",S7)</f>
        <v/>
      </c>
      <c r="C7" s="18" t="str">
        <f>IF(T7=0,"",T7)</f>
        <v/>
      </c>
      <c r="D7" s="14" t="str">
        <f>IF(U7=0,"",U7)</f>
        <v/>
      </c>
      <c r="E7" s="356">
        <f>IF(V7="","",V7)</f>
        <v>0</v>
      </c>
      <c r="F7" s="14" t="str">
        <f t="shared" ref="F7:F20" si="0">IF(W7=0,"",W7)</f>
        <v/>
      </c>
      <c r="G7" s="356">
        <f>IF(X7="","",X7)</f>
        <v>0</v>
      </c>
      <c r="H7" s="14" t="str">
        <f t="shared" ref="H7:H20" si="1">IF(Y7=0,"",Y7)</f>
        <v/>
      </c>
      <c r="I7" s="356">
        <f>IF(Z7="","",Z7)</f>
        <v>0</v>
      </c>
      <c r="J7" s="14" t="str">
        <f t="shared" ref="J7:J20" si="2">IF(AA7=0,"",AA7)</f>
        <v/>
      </c>
      <c r="K7" s="356">
        <f>IF(AB7="","",AB7)</f>
        <v>0</v>
      </c>
      <c r="L7" s="14" t="str">
        <f t="shared" ref="L7:L20" si="3">IF(AC7=0,"",AC7)</f>
        <v/>
      </c>
      <c r="M7" s="356">
        <f>IF(AD7="","",AD7)</f>
        <v>0</v>
      </c>
      <c r="N7" s="14" t="str">
        <f t="shared" ref="N7:N20" si="4">IF(AG7=0,"",AG7)</f>
        <v/>
      </c>
      <c r="O7" s="356">
        <f>IF(AH7="","",AH7)</f>
        <v>0</v>
      </c>
      <c r="R7" s="359"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8"/>
      <c r="B8" s="19" t="str">
        <f t="shared" ref="B8:D20" si="21">IF(S8=0,"",S8)</f>
        <v/>
      </c>
      <c r="C8" s="20" t="str">
        <f t="shared" si="21"/>
        <v/>
      </c>
      <c r="D8" s="15" t="str">
        <f t="shared" si="21"/>
        <v/>
      </c>
      <c r="E8" s="357"/>
      <c r="F8" s="15" t="str">
        <f t="shared" si="0"/>
        <v/>
      </c>
      <c r="G8" s="357"/>
      <c r="H8" s="15" t="str">
        <f t="shared" si="1"/>
        <v/>
      </c>
      <c r="I8" s="357"/>
      <c r="J8" s="15" t="str">
        <f t="shared" si="2"/>
        <v/>
      </c>
      <c r="K8" s="357"/>
      <c r="L8" s="15" t="str">
        <f t="shared" si="3"/>
        <v/>
      </c>
      <c r="M8" s="357"/>
      <c r="N8" s="15" t="str">
        <f t="shared" si="4"/>
        <v/>
      </c>
      <c r="O8" s="357"/>
      <c r="R8" s="360"/>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9"/>
      <c r="B9" s="21" t="str">
        <f t="shared" si="21"/>
        <v/>
      </c>
      <c r="C9" s="22" t="str">
        <f t="shared" si="21"/>
        <v/>
      </c>
      <c r="D9" s="9" t="str">
        <f t="shared" si="21"/>
        <v/>
      </c>
      <c r="E9" s="358"/>
      <c r="F9" s="9" t="str">
        <f t="shared" si="0"/>
        <v/>
      </c>
      <c r="G9" s="358"/>
      <c r="H9" s="9" t="str">
        <f t="shared" si="1"/>
        <v/>
      </c>
      <c r="I9" s="358"/>
      <c r="J9" s="9" t="str">
        <f t="shared" si="2"/>
        <v/>
      </c>
      <c r="K9" s="358"/>
      <c r="L9" s="9" t="str">
        <f t="shared" si="3"/>
        <v/>
      </c>
      <c r="M9" s="358"/>
      <c r="N9" s="9" t="str">
        <f t="shared" si="4"/>
        <v/>
      </c>
      <c r="O9" s="358"/>
      <c r="R9" s="361"/>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7" t="s">
        <v>2</v>
      </c>
      <c r="B10" s="17" t="str">
        <f t="shared" si="21"/>
        <v/>
      </c>
      <c r="C10" s="18" t="str">
        <f t="shared" si="21"/>
        <v/>
      </c>
      <c r="D10" s="14" t="str">
        <f t="shared" si="21"/>
        <v/>
      </c>
      <c r="E10" s="356">
        <f>IF(V10="","",V10)</f>
        <v>0</v>
      </c>
      <c r="F10" s="14" t="str">
        <f t="shared" si="0"/>
        <v/>
      </c>
      <c r="G10" s="356">
        <f>IF(X10="","",X10)</f>
        <v>0</v>
      </c>
      <c r="H10" s="14" t="str">
        <f t="shared" si="1"/>
        <v/>
      </c>
      <c r="I10" s="356">
        <f>IF(Z10="","",Z10)</f>
        <v>0</v>
      </c>
      <c r="J10" s="14" t="str">
        <f t="shared" si="2"/>
        <v/>
      </c>
      <c r="K10" s="356">
        <f>IF(AB10="","",AB10)</f>
        <v>0</v>
      </c>
      <c r="L10" s="14" t="str">
        <f t="shared" si="3"/>
        <v/>
      </c>
      <c r="M10" s="356">
        <f>IF(AD10="","",AD10)</f>
        <v>0</v>
      </c>
      <c r="N10" s="14" t="str">
        <f t="shared" si="4"/>
        <v/>
      </c>
      <c r="O10" s="356">
        <f>IF(AH10="","",AH10)</f>
        <v>0</v>
      </c>
      <c r="R10" s="359"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8"/>
      <c r="B11" s="19" t="str">
        <f t="shared" si="21"/>
        <v/>
      </c>
      <c r="C11" s="20" t="str">
        <f t="shared" si="21"/>
        <v/>
      </c>
      <c r="D11" s="15" t="str">
        <f t="shared" si="21"/>
        <v/>
      </c>
      <c r="E11" s="357"/>
      <c r="F11" s="15" t="str">
        <f t="shared" si="0"/>
        <v/>
      </c>
      <c r="G11" s="357"/>
      <c r="H11" s="15" t="str">
        <f t="shared" si="1"/>
        <v/>
      </c>
      <c r="I11" s="357"/>
      <c r="J11" s="15" t="str">
        <f t="shared" si="2"/>
        <v/>
      </c>
      <c r="K11" s="357"/>
      <c r="L11" s="15" t="str">
        <f t="shared" si="3"/>
        <v/>
      </c>
      <c r="M11" s="357"/>
      <c r="N11" s="15" t="str">
        <f t="shared" si="4"/>
        <v/>
      </c>
      <c r="O11" s="357"/>
      <c r="R11" s="360"/>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9"/>
      <c r="B12" s="21" t="str">
        <f t="shared" si="21"/>
        <v/>
      </c>
      <c r="C12" s="22" t="str">
        <f t="shared" si="21"/>
        <v/>
      </c>
      <c r="D12" s="9" t="str">
        <f t="shared" si="21"/>
        <v/>
      </c>
      <c r="E12" s="358"/>
      <c r="F12" s="9" t="str">
        <f t="shared" si="0"/>
        <v/>
      </c>
      <c r="G12" s="358"/>
      <c r="H12" s="9" t="str">
        <f t="shared" si="1"/>
        <v/>
      </c>
      <c r="I12" s="358"/>
      <c r="J12" s="9" t="str">
        <f t="shared" si="2"/>
        <v/>
      </c>
      <c r="K12" s="358"/>
      <c r="L12" s="9" t="str">
        <f t="shared" si="3"/>
        <v/>
      </c>
      <c r="M12" s="358"/>
      <c r="N12" s="9" t="str">
        <f t="shared" si="4"/>
        <v/>
      </c>
      <c r="O12" s="358"/>
      <c r="R12" s="361"/>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7" t="s">
        <v>3</v>
      </c>
      <c r="B13" s="17" t="str">
        <f t="shared" si="21"/>
        <v/>
      </c>
      <c r="C13" s="18" t="str">
        <f t="shared" si="21"/>
        <v/>
      </c>
      <c r="D13" s="14" t="str">
        <f t="shared" si="21"/>
        <v/>
      </c>
      <c r="E13" s="356">
        <f>IF(V13="","",V13)</f>
        <v>0</v>
      </c>
      <c r="F13" s="14" t="str">
        <f t="shared" si="0"/>
        <v/>
      </c>
      <c r="G13" s="356">
        <f>IF(X13="","",X13)</f>
        <v>0</v>
      </c>
      <c r="H13" s="14" t="str">
        <f t="shared" si="1"/>
        <v/>
      </c>
      <c r="I13" s="356">
        <f>IF(Z13="","",Z13)</f>
        <v>0</v>
      </c>
      <c r="J13" s="14" t="str">
        <f t="shared" si="2"/>
        <v/>
      </c>
      <c r="K13" s="356">
        <f>IF(AB13="","",AB13)</f>
        <v>0</v>
      </c>
      <c r="L13" s="14" t="str">
        <f t="shared" si="3"/>
        <v/>
      </c>
      <c r="M13" s="356">
        <f>IF(AD13="","",AD13)</f>
        <v>0</v>
      </c>
      <c r="N13" s="14" t="str">
        <f t="shared" si="4"/>
        <v/>
      </c>
      <c r="O13" s="356">
        <f>IF(AH13="","",AH13)</f>
        <v>0</v>
      </c>
      <c r="R13" s="359"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8"/>
      <c r="B14" s="19" t="str">
        <f t="shared" si="21"/>
        <v/>
      </c>
      <c r="C14" s="20" t="str">
        <f t="shared" si="21"/>
        <v/>
      </c>
      <c r="D14" s="15" t="str">
        <f t="shared" si="21"/>
        <v/>
      </c>
      <c r="E14" s="357"/>
      <c r="F14" s="15" t="str">
        <f t="shared" si="0"/>
        <v/>
      </c>
      <c r="G14" s="357"/>
      <c r="H14" s="15" t="str">
        <f t="shared" si="1"/>
        <v/>
      </c>
      <c r="I14" s="357"/>
      <c r="J14" s="15" t="str">
        <f t="shared" si="2"/>
        <v/>
      </c>
      <c r="K14" s="357"/>
      <c r="L14" s="15" t="str">
        <f t="shared" si="3"/>
        <v/>
      </c>
      <c r="M14" s="357"/>
      <c r="N14" s="15" t="str">
        <f t="shared" si="4"/>
        <v/>
      </c>
      <c r="O14" s="357"/>
      <c r="R14" s="360"/>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9"/>
      <c r="B15" s="21" t="str">
        <f t="shared" si="21"/>
        <v/>
      </c>
      <c r="C15" s="22" t="str">
        <f t="shared" si="21"/>
        <v/>
      </c>
      <c r="D15" s="9" t="str">
        <f t="shared" si="21"/>
        <v/>
      </c>
      <c r="E15" s="358"/>
      <c r="F15" s="9" t="str">
        <f t="shared" si="0"/>
        <v/>
      </c>
      <c r="G15" s="358"/>
      <c r="H15" s="9" t="str">
        <f t="shared" si="1"/>
        <v/>
      </c>
      <c r="I15" s="358"/>
      <c r="J15" s="9" t="str">
        <f t="shared" si="2"/>
        <v/>
      </c>
      <c r="K15" s="358"/>
      <c r="L15" s="9" t="str">
        <f t="shared" si="3"/>
        <v/>
      </c>
      <c r="M15" s="358"/>
      <c r="N15" s="9" t="str">
        <f t="shared" si="4"/>
        <v/>
      </c>
      <c r="O15" s="358"/>
      <c r="R15" s="361"/>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7" t="s">
        <v>11</v>
      </c>
      <c r="B16" s="17" t="str">
        <f>IF(S16=0,"",S16)</f>
        <v/>
      </c>
      <c r="C16" s="18" t="str">
        <f t="shared" si="21"/>
        <v/>
      </c>
      <c r="D16" s="14" t="str">
        <f t="shared" si="21"/>
        <v/>
      </c>
      <c r="E16" s="356">
        <f>IF(V16="","",V16)</f>
        <v>0</v>
      </c>
      <c r="F16" s="14" t="str">
        <f t="shared" si="0"/>
        <v/>
      </c>
      <c r="G16" s="356">
        <f>IF(X16="","",X16)</f>
        <v>0</v>
      </c>
      <c r="H16" s="14" t="str">
        <f t="shared" si="1"/>
        <v/>
      </c>
      <c r="I16" s="356">
        <f>IF(Z16="","",Z16)</f>
        <v>0</v>
      </c>
      <c r="J16" s="14" t="str">
        <f t="shared" si="2"/>
        <v/>
      </c>
      <c r="K16" s="356">
        <f>IF(AB16="","",AB16)</f>
        <v>0</v>
      </c>
      <c r="L16" s="14" t="str">
        <f t="shared" si="3"/>
        <v/>
      </c>
      <c r="M16" s="356">
        <f>IF(AD16="","",AD16)</f>
        <v>0</v>
      </c>
      <c r="N16" s="14" t="str">
        <f t="shared" si="4"/>
        <v/>
      </c>
      <c r="O16" s="356">
        <f>IF(AH16="","",AH16)</f>
        <v>0</v>
      </c>
      <c r="R16" s="359"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8"/>
      <c r="B17" s="19" t="str">
        <f>IF(S17=0,"",S17)</f>
        <v/>
      </c>
      <c r="C17" s="20" t="str">
        <f t="shared" si="21"/>
        <v/>
      </c>
      <c r="D17" s="15" t="str">
        <f t="shared" si="21"/>
        <v/>
      </c>
      <c r="E17" s="357"/>
      <c r="F17" s="15" t="str">
        <f t="shared" si="0"/>
        <v/>
      </c>
      <c r="G17" s="357"/>
      <c r="H17" s="15" t="str">
        <f t="shared" si="1"/>
        <v/>
      </c>
      <c r="I17" s="357"/>
      <c r="J17" s="15" t="str">
        <f t="shared" si="2"/>
        <v/>
      </c>
      <c r="K17" s="357"/>
      <c r="L17" s="15" t="str">
        <f t="shared" si="3"/>
        <v/>
      </c>
      <c r="M17" s="357"/>
      <c r="N17" s="15" t="str">
        <f t="shared" si="4"/>
        <v/>
      </c>
      <c r="O17" s="357"/>
      <c r="R17" s="360"/>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9"/>
      <c r="B18" s="21" t="str">
        <f>IF(S18=0,"",S18)</f>
        <v/>
      </c>
      <c r="C18" s="22" t="str">
        <f t="shared" si="21"/>
        <v/>
      </c>
      <c r="D18" s="9" t="str">
        <f t="shared" si="21"/>
        <v/>
      </c>
      <c r="E18" s="358"/>
      <c r="F18" s="9" t="str">
        <f t="shared" si="0"/>
        <v/>
      </c>
      <c r="G18" s="358"/>
      <c r="H18" s="9" t="str">
        <f t="shared" si="1"/>
        <v/>
      </c>
      <c r="I18" s="358"/>
      <c r="J18" s="9" t="str">
        <f t="shared" si="2"/>
        <v/>
      </c>
      <c r="K18" s="358"/>
      <c r="L18" s="9" t="str">
        <f t="shared" si="3"/>
        <v/>
      </c>
      <c r="M18" s="358"/>
      <c r="N18" s="9" t="str">
        <f t="shared" si="4"/>
        <v/>
      </c>
      <c r="O18" s="358"/>
      <c r="R18" s="361"/>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4" si="24">IF(S22=0,"",S22)</f>
        <v>Gegner-Nr.:</v>
      </c>
      <c r="C22" s="5" t="str">
        <f t="shared" si="24"/>
        <v>&gt;&gt;&gt;&gt;</v>
      </c>
      <c r="D22" s="354">
        <f t="shared" si="24"/>
        <v>3</v>
      </c>
      <c r="E22" s="354" t="str">
        <f t="shared" si="24"/>
        <v/>
      </c>
      <c r="F22" s="354">
        <f t="shared" si="24"/>
        <v>3</v>
      </c>
      <c r="G22" s="354" t="str">
        <f t="shared" si="24"/>
        <v/>
      </c>
      <c r="H22" s="354">
        <f t="shared" si="24"/>
        <v>3</v>
      </c>
      <c r="I22" s="354" t="str">
        <f t="shared" si="24"/>
        <v/>
      </c>
      <c r="J22" s="354">
        <f t="shared" si="24"/>
        <v>3</v>
      </c>
      <c r="K22" s="354" t="str">
        <f t="shared" si="24"/>
        <v/>
      </c>
      <c r="L22" s="354">
        <f t="shared" si="24"/>
        <v>3</v>
      </c>
      <c r="M22" s="354" t="str">
        <f t="shared" si="24"/>
        <v/>
      </c>
      <c r="N22" s="355"/>
      <c r="O22" s="355"/>
      <c r="S22" s="13" t="s">
        <v>1786</v>
      </c>
      <c r="T22" s="5" t="s">
        <v>1787</v>
      </c>
      <c r="U22" s="373">
        <f>VLOOKUP($S2,Schlüssel!$A$5:$DR$10,103)</f>
        <v>3</v>
      </c>
      <c r="V22" s="374"/>
      <c r="W22" s="373">
        <f>VLOOKUP($S2,Schlüssel!$A$5:$DR$10,104)</f>
        <v>3</v>
      </c>
      <c r="X22" s="374"/>
      <c r="Y22" s="373">
        <f>VLOOKUP($S2,Schlüssel!$A$5:$DR$10,105)</f>
        <v>3</v>
      </c>
      <c r="Z22" s="374"/>
      <c r="AA22" s="373">
        <f>VLOOKUP($S2,Schlüssel!$A$5:$DR$10,106)</f>
        <v>3</v>
      </c>
      <c r="AB22" s="374"/>
      <c r="AC22" s="373">
        <f>VLOOKUP($S2,Schlüssel!$A$5:$DR$10,107)</f>
        <v>3</v>
      </c>
      <c r="AD22" s="374"/>
      <c r="AE22" s="373">
        <f>VLOOKUP($S2,Schlüssel!$A$5:$DR$10,108)</f>
        <v>3</v>
      </c>
      <c r="AF22" s="374"/>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1" t="str">
        <f t="shared" si="24"/>
        <v>Mainauenbowler Bayreuth Land</v>
      </c>
      <c r="E23" s="352" t="str">
        <f t="shared" si="24"/>
        <v/>
      </c>
      <c r="F23" s="351" t="str">
        <f t="shared" si="24"/>
        <v>Mainauenbowler Bayreuth Land</v>
      </c>
      <c r="G23" s="352" t="str">
        <f t="shared" si="24"/>
        <v/>
      </c>
      <c r="H23" s="351" t="str">
        <f t="shared" si="24"/>
        <v>Mainauenbowler Bayreuth Land</v>
      </c>
      <c r="I23" s="352" t="str">
        <f t="shared" si="24"/>
        <v/>
      </c>
      <c r="J23" s="351" t="str">
        <f t="shared" si="24"/>
        <v>Mainauenbowler Bayreuth Land</v>
      </c>
      <c r="K23" s="352" t="str">
        <f t="shared" si="24"/>
        <v/>
      </c>
      <c r="L23" s="351" t="str">
        <f t="shared" si="24"/>
        <v>Mainauenbowler Bayreuth Land</v>
      </c>
      <c r="M23" s="352" t="str">
        <f t="shared" si="24"/>
        <v/>
      </c>
      <c r="N23" s="353"/>
      <c r="O23" s="353"/>
      <c r="S23" s="4"/>
      <c r="T23" s="1"/>
      <c r="U23" s="351" t="str">
        <f>VLOOKUP(U22,Schlüssel!$A$5:$K$10,2)</f>
        <v>Mainauenbowler Bayreuth Land</v>
      </c>
      <c r="V23" s="352"/>
      <c r="W23" s="351" t="str">
        <f>VLOOKUP(W22,Schlüssel!$A$5:$K$10,2)</f>
        <v>Mainauenbowler Bayreuth Land</v>
      </c>
      <c r="X23" s="352"/>
      <c r="Y23" s="351" t="str">
        <f>VLOOKUP(Y22,Schlüssel!$A$5:$K$10,2)</f>
        <v>Mainauenbowler Bayreuth Land</v>
      </c>
      <c r="Z23" s="352"/>
      <c r="AA23" s="351" t="str">
        <f>VLOOKUP(AA22,Schlüssel!$A$5:$K$10,2)</f>
        <v>Mainauenbowler Bayreuth Land</v>
      </c>
      <c r="AB23" s="352"/>
      <c r="AC23" s="351" t="str">
        <f>VLOOKUP(AC22,Schlüssel!$A$5:$K$10,2)</f>
        <v>Mainauenbowler Bayreuth Land</v>
      </c>
      <c r="AD23" s="352"/>
      <c r="AE23" s="351" t="str">
        <f>VLOOKUP(AE22,Schlüssel!$A$5:$K$10,2)</f>
        <v>Mainauenbowler Bayreuth Land</v>
      </c>
      <c r="AF23" s="35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50" t="str">
        <f t="shared" si="24"/>
        <v/>
      </c>
      <c r="E24" s="350" t="str">
        <f t="shared" si="24"/>
        <v/>
      </c>
      <c r="F24" s="350" t="str">
        <f t="shared" si="24"/>
        <v/>
      </c>
      <c r="G24" s="350" t="str">
        <f t="shared" si="24"/>
        <v/>
      </c>
      <c r="H24" s="350" t="str">
        <f t="shared" si="24"/>
        <v/>
      </c>
      <c r="I24" s="350" t="str">
        <f t="shared" si="24"/>
        <v/>
      </c>
      <c r="J24" s="350" t="str">
        <f t="shared" si="24"/>
        <v/>
      </c>
      <c r="K24" s="350" t="str">
        <f t="shared" si="24"/>
        <v/>
      </c>
      <c r="L24" s="350" t="str">
        <f t="shared" si="24"/>
        <v/>
      </c>
      <c r="M24" s="350" t="str">
        <f t="shared" si="24"/>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5" t="str">
        <f t="shared" ref="B25:C29" si="25">IF(S25=0,"",S25)</f>
        <v>Spieler 1</v>
      </c>
      <c r="C25" s="376" t="str">
        <f t="shared" si="25"/>
        <v/>
      </c>
      <c r="D25" s="348">
        <f>IF(U25=301,"",U25)</f>
        <v>0</v>
      </c>
      <c r="E25" s="348" t="str">
        <f>IF(V25=0,"",V25)</f>
        <v/>
      </c>
      <c r="F25" s="348">
        <f>IF(W25=301,"",W25)</f>
        <v>0</v>
      </c>
      <c r="G25" s="348" t="str">
        <f>IF(X25=0,"",X25)</f>
        <v/>
      </c>
      <c r="H25" s="348">
        <f>IF(Y25=301,"",Y25)</f>
        <v>0</v>
      </c>
      <c r="I25" s="348" t="str">
        <f>IF(Z25=0,"",Z25)</f>
        <v/>
      </c>
      <c r="J25" s="348">
        <f>IF(AA25=301,"",AA25)</f>
        <v>0</v>
      </c>
      <c r="K25" s="348" t="str">
        <f>IF(AB25=0,"",AB25)</f>
        <v/>
      </c>
      <c r="L25" s="348">
        <f>IF(AC25=301,"",AC25)</f>
        <v>0</v>
      </c>
      <c r="M25" s="348" t="str">
        <f>IF(AD25=0,"",AD25)</f>
        <v/>
      </c>
      <c r="N25" s="349"/>
      <c r="O25" s="349"/>
      <c r="S25" s="35" t="s">
        <v>0</v>
      </c>
      <c r="T25" s="36"/>
      <c r="U25" s="371">
        <f>ABS(INDEX(U:U,MATCH(U22,$S:$S,0)+5)+INDEX(U:U,MATCH(U22,$S:$S,0)+6)+INDEX(U:U,MATCH(U22,$S:$S,0)+7))</f>
        <v>0</v>
      </c>
      <c r="V25" s="372"/>
      <c r="W25" s="371">
        <f>ABS(INDEX(W:W,MATCH(W22,$S:$S,0)+5)+INDEX(W:W,MATCH(W22,$S:$S,0)+6)+INDEX(W:W,MATCH(W22,$S:$S,0)+7))</f>
        <v>0</v>
      </c>
      <c r="X25" s="372"/>
      <c r="Y25" s="371">
        <f>ABS(INDEX(Y:Y,MATCH(Y22,$S:$S,0)+5)+INDEX(Y:Y,MATCH(Y22,$S:$S,0)+6)+INDEX(Y:Y,MATCH(Y22,$S:$S,0)+7))</f>
        <v>0</v>
      </c>
      <c r="Z25" s="372"/>
      <c r="AA25" s="371">
        <f>ABS(INDEX(AA:AA,MATCH(AA22,$S:$S,0)+5)+INDEX(AA:AA,MATCH(AA22,$S:$S,0)+6)+INDEX(AA:AA,MATCH(AA22,$S:$S,0)+7))</f>
        <v>0</v>
      </c>
      <c r="AB25" s="372"/>
      <c r="AC25" s="371">
        <f>ABS(INDEX(AC:AC,MATCH(AC22,$S:$S,0)+5)+INDEX(AC:AC,MATCH(AC22,$S:$S,0)+6)+INDEX(AC:AC,MATCH(AC22,$S:$S,0)+7))</f>
        <v>0</v>
      </c>
      <c r="AD25" s="372"/>
      <c r="AE25" s="371">
        <f>ABS(INDEX(AE:AE,MATCH(AE22,$S:$S,0)+5)+INDEX(AE:AE,MATCH(AE22,$S:$S,0)+6)+INDEX(AE:AE,MATCH(AE22,$S:$S,0)+7))</f>
        <v>0</v>
      </c>
      <c r="AF25" s="372"/>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5" t="str">
        <f t="shared" si="25"/>
        <v>Spieler 2</v>
      </c>
      <c r="C26" s="376" t="str">
        <f t="shared" si="25"/>
        <v/>
      </c>
      <c r="D26" s="348">
        <f>IF(U26=301,"",U26)</f>
        <v>0</v>
      </c>
      <c r="E26" s="348" t="str">
        <f>IF(V26=0,"",V26)</f>
        <v/>
      </c>
      <c r="F26" s="348">
        <f>IF(W26=301,"",W26)</f>
        <v>0</v>
      </c>
      <c r="G26" s="348" t="str">
        <f>IF(X26=0,"",X26)</f>
        <v/>
      </c>
      <c r="H26" s="348">
        <f>IF(Y26=301,"",Y26)</f>
        <v>0</v>
      </c>
      <c r="I26" s="348" t="str">
        <f>IF(Z26=0,"",Z26)</f>
        <v/>
      </c>
      <c r="J26" s="348">
        <f>IF(AA26=301,"",AA26)</f>
        <v>0</v>
      </c>
      <c r="K26" s="348" t="str">
        <f>IF(AB26=0,"",AB26)</f>
        <v/>
      </c>
      <c r="L26" s="348">
        <f>IF(AC26=301,"",AC26)</f>
        <v>0</v>
      </c>
      <c r="M26" s="348" t="str">
        <f>IF(AD26=0,"",AD26)</f>
        <v/>
      </c>
      <c r="N26" s="349"/>
      <c r="O26" s="349"/>
      <c r="S26" s="35" t="s">
        <v>2</v>
      </c>
      <c r="T26" s="36"/>
      <c r="U26" s="369">
        <f>ABS(INDEX(U:U,MATCH(U22,$S:$S,0)+8)+INDEX(U:U,MATCH(U22,$S:$S,0)+9)+INDEX(U:U,MATCH(U22,$S:$S,0)+10))</f>
        <v>0</v>
      </c>
      <c r="V26" s="370"/>
      <c r="W26" s="369">
        <f>ABS(INDEX(W:W,MATCH(W22,$S:$S,0)+8)+INDEX(W:W,MATCH(W22,$S:$S,0)+9)+INDEX(W:W,MATCH(W22,$S:$S,0)+10))</f>
        <v>0</v>
      </c>
      <c r="X26" s="370"/>
      <c r="Y26" s="369">
        <f>ABS(INDEX(Y:Y,MATCH(Y22,$S:$S,0)+8)+INDEX(Y:Y,MATCH(Y22,$S:$S,0)+9)+INDEX(Y:Y,MATCH(Y22,$S:$S,0)+10))</f>
        <v>0</v>
      </c>
      <c r="Z26" s="370"/>
      <c r="AA26" s="369">
        <f>ABS(INDEX(AA:AA,MATCH(AA22,$S:$S,0)+8)+INDEX(AA:AA,MATCH(AA22,$S:$S,0)+9)+INDEX(AA:AA,MATCH(AA22,$S:$S,0)+10))</f>
        <v>0</v>
      </c>
      <c r="AB26" s="370"/>
      <c r="AC26" s="369">
        <f>ABS(INDEX(AC:AC,MATCH(AC22,$S:$S,0)+8)+INDEX(AC:AC,MATCH(AC22,$S:$S,0)+9)+INDEX(AC:AC,MATCH(AC22,$S:$S,0)+10))</f>
        <v>0</v>
      </c>
      <c r="AD26" s="370"/>
      <c r="AE26" s="369">
        <f>ABS(INDEX(AE:AE,MATCH(AE22,$S:$S,0)+8)+INDEX(AE:AE,MATCH(AE22,$S:$S,0)+9)+INDEX(AE:AE,MATCH(AE22,$S:$S,0)+10))</f>
        <v>0</v>
      </c>
      <c r="AF26" s="370"/>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5" t="str">
        <f t="shared" si="25"/>
        <v>Spieler 3</v>
      </c>
      <c r="C27" s="376" t="str">
        <f t="shared" si="25"/>
        <v/>
      </c>
      <c r="D27" s="348">
        <f>IF(U27=301,"",U27)</f>
        <v>0</v>
      </c>
      <c r="E27" s="348" t="str">
        <f>IF(V27=0,"",V27)</f>
        <v/>
      </c>
      <c r="F27" s="348">
        <f>IF(W27=301,"",W27)</f>
        <v>0</v>
      </c>
      <c r="G27" s="348" t="str">
        <f>IF(X27=0,"",X27)</f>
        <v/>
      </c>
      <c r="H27" s="348">
        <f>IF(Y27=301,"",Y27)</f>
        <v>0</v>
      </c>
      <c r="I27" s="348" t="str">
        <f>IF(Z27=0,"",Z27)</f>
        <v/>
      </c>
      <c r="J27" s="348">
        <f>IF(AA27=301,"",AA27)</f>
        <v>0</v>
      </c>
      <c r="K27" s="348" t="str">
        <f>IF(AB27=0,"",AB27)</f>
        <v/>
      </c>
      <c r="L27" s="348">
        <f>IF(AC27=301,"",AC27)</f>
        <v>0</v>
      </c>
      <c r="M27" s="348" t="str">
        <f>IF(AD27=0,"",AD27)</f>
        <v/>
      </c>
      <c r="N27" s="349"/>
      <c r="O27" s="349"/>
      <c r="S27" s="35" t="s">
        <v>3</v>
      </c>
      <c r="T27" s="36"/>
      <c r="U27" s="369">
        <f>ABS(INDEX(U:U,MATCH(U22,$S:$S,0)+11)+INDEX(U:U,MATCH(U22,$S:$S,0)+12)+INDEX(U:U,MATCH(U22,$S:$S,0)+13))</f>
        <v>0</v>
      </c>
      <c r="V27" s="370"/>
      <c r="W27" s="369">
        <f>ABS(INDEX(W:W,MATCH(W22,$S:$S,0)+11)+INDEX(W:W,MATCH(W22,$S:$S,0)+12)+INDEX(W:W,MATCH(W22,$S:$S,0)+13))</f>
        <v>0</v>
      </c>
      <c r="X27" s="370"/>
      <c r="Y27" s="369">
        <f>ABS(INDEX(Y:Y,MATCH(Y22,$S:$S,0)+11)+INDEX(Y:Y,MATCH(Y22,$S:$S,0)+12)+INDEX(Y:Y,MATCH(Y22,$S:$S,0)+13))</f>
        <v>0</v>
      </c>
      <c r="Z27" s="370"/>
      <c r="AA27" s="369">
        <f>ABS(INDEX(AA:AA,MATCH(AA22,$S:$S,0)+11)+INDEX(AA:AA,MATCH(AA22,$S:$S,0)+12)+INDEX(AA:AA,MATCH(AA22,$S:$S,0)+13))</f>
        <v>0</v>
      </c>
      <c r="AB27" s="370"/>
      <c r="AC27" s="369">
        <f>ABS(INDEX(AC:AC,MATCH(AC22,$S:$S,0)+11)+INDEX(AC:AC,MATCH(AC22,$S:$S,0)+12)+INDEX(AC:AC,MATCH(AC22,$S:$S,0)+13))</f>
        <v>0</v>
      </c>
      <c r="AD27" s="370"/>
      <c r="AE27" s="369">
        <f>ABS(INDEX(AE:AE,MATCH(AE22,$S:$S,0)+11)+INDEX(AE:AE,MATCH(AE22,$S:$S,0)+12)+INDEX(AE:AE,MATCH(AE22,$S:$S,0)+13))</f>
        <v>0</v>
      </c>
      <c r="AF27" s="370"/>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5" t="str">
        <f t="shared" si="25"/>
        <v>Spieler 4</v>
      </c>
      <c r="C28" s="376" t="str">
        <f t="shared" si="25"/>
        <v/>
      </c>
      <c r="D28" s="348">
        <f>IF(U28=301,"",U28)</f>
        <v>0</v>
      </c>
      <c r="E28" s="348" t="str">
        <f>IF(V28=0,"",V28)</f>
        <v/>
      </c>
      <c r="F28" s="348">
        <f>IF(W28=301,"",W28)</f>
        <v>0</v>
      </c>
      <c r="G28" s="348" t="str">
        <f>IF(X28=0,"",X28)</f>
        <v/>
      </c>
      <c r="H28" s="348">
        <f>IF(Y28=301,"",Y28)</f>
        <v>0</v>
      </c>
      <c r="I28" s="348" t="str">
        <f>IF(Z28=0,"",Z28)</f>
        <v/>
      </c>
      <c r="J28" s="348">
        <f>IF(AA28=301,"",AA28)</f>
        <v>0</v>
      </c>
      <c r="K28" s="348" t="str">
        <f>IF(AB28=0,"",AB28)</f>
        <v/>
      </c>
      <c r="L28" s="348">
        <f>IF(AC28=301,"",AC28)</f>
        <v>0</v>
      </c>
      <c r="M28" s="348" t="str">
        <f>IF(AD28=0,"",AD28)</f>
        <v/>
      </c>
      <c r="N28" s="349"/>
      <c r="O28" s="349"/>
      <c r="S28" s="35" t="s">
        <v>11</v>
      </c>
      <c r="T28" s="36"/>
      <c r="U28" s="369">
        <f>ABS(INDEX(U:U,MATCH(U22,$S:$S,0)+14)+INDEX(U:U,MATCH(U22,$S:$S,0)+15)+INDEX(U:U,MATCH(U22,$S:$S,0)+16))</f>
        <v>0</v>
      </c>
      <c r="V28" s="370"/>
      <c r="W28" s="369">
        <f>ABS(INDEX(W:W,MATCH(W22,$S:$S,0)+14)+INDEX(W:W,MATCH(W22,$S:$S,0)+15)+INDEX(W:W,MATCH(W22,$S:$S,0)+16))</f>
        <v>0</v>
      </c>
      <c r="X28" s="370"/>
      <c r="Y28" s="369">
        <f>ABS(INDEX(Y:Y,MATCH(Y22,$S:$S,0)+14)+INDEX(Y:Y,MATCH(Y22,$S:$S,0)+15)+INDEX(Y:Y,MATCH(Y22,$S:$S,0)+16))</f>
        <v>0</v>
      </c>
      <c r="Z28" s="370"/>
      <c r="AA28" s="369">
        <f>ABS(INDEX(AA:AA,MATCH(AA22,$S:$S,0)+14)+INDEX(AA:AA,MATCH(AA22,$S:$S,0)+15)+INDEX(AA:AA,MATCH(AA22,$S:$S,0)+16))</f>
        <v>0</v>
      </c>
      <c r="AB28" s="370"/>
      <c r="AC28" s="369">
        <f>ABS(INDEX(AC:AC,MATCH(AC22,$S:$S,0)+14)+INDEX(AC:AC,MATCH(AC22,$S:$S,0)+15)+INDEX(AC:AC,MATCH(AC22,$S:$S,0)+16))</f>
        <v>0</v>
      </c>
      <c r="AD28" s="370"/>
      <c r="AE28" s="369">
        <f>ABS(INDEX(AE:AE,MATCH(AE22,$S:$S,0)+14)+INDEX(AE:AE,MATCH(AE22,$S:$S,0)+15)+INDEX(AE:AE,MATCH(AE22,$S:$S,0)+16))</f>
        <v>0</v>
      </c>
      <c r="AF28" s="370"/>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3" t="str">
        <f t="shared" si="25"/>
        <v>Gesamt</v>
      </c>
      <c r="C29" s="364" t="str">
        <f t="shared" si="25"/>
        <v/>
      </c>
      <c r="D29" s="347">
        <f>IF(U29=1505,"",U29)</f>
        <v>0</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12"/>
      <c r="O29" s="312"/>
      <c r="S29" s="37" t="s">
        <v>1788</v>
      </c>
      <c r="T29" s="38"/>
      <c r="U29" s="363">
        <f>SUM(U25:U28)</f>
        <v>0</v>
      </c>
      <c r="V29" s="364"/>
      <c r="W29" s="363">
        <f>SUM(W25:W28)</f>
        <v>0</v>
      </c>
      <c r="X29" s="364"/>
      <c r="Y29" s="363">
        <f>SUM(Y25:Y28)</f>
        <v>0</v>
      </c>
      <c r="Z29" s="364"/>
      <c r="AA29" s="363">
        <f>SUM(AA25:AA28)</f>
        <v>0</v>
      </c>
      <c r="AB29" s="364"/>
      <c r="AC29" s="363">
        <f>SUM(AC25:AC28)</f>
        <v>0</v>
      </c>
      <c r="AD29" s="364"/>
      <c r="AE29" s="363">
        <f>SUM(AE25:AE28)</f>
        <v>0</v>
      </c>
      <c r="AF29" s="364"/>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80"/>
      <c r="N31" s="380" t="str">
        <f>AD31</f>
        <v>18.05.</v>
      </c>
      <c r="O31" s="380"/>
      <c r="P31" s="381"/>
      <c r="Q31" s="381"/>
      <c r="R31" s="381"/>
      <c r="S31" s="7" t="s">
        <v>1798</v>
      </c>
      <c r="T31" s="25"/>
      <c r="U31" s="30" t="s">
        <v>1782</v>
      </c>
      <c r="V31" s="76" t="str">
        <f>Schlüssel!$C$1</f>
        <v>Landesliga Nord Frauen</v>
      </c>
      <c r="X31" s="25"/>
      <c r="Y31" s="25"/>
      <c r="Z31" s="25"/>
      <c r="AA31" s="25"/>
      <c r="AC31" s="29"/>
      <c r="AD31" s="362" t="str">
        <f>Schlüssel!$DI$1</f>
        <v>18.05.</v>
      </c>
      <c r="AE31" s="362"/>
      <c r="AF31" s="362"/>
      <c r="AG31" s="362"/>
      <c r="AH31" s="362"/>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0</v>
      </c>
      <c r="W34" s="192" t="s">
        <v>10</v>
      </c>
      <c r="X34" s="190">
        <f>VLOOKUP($B32,Schlüssel!$A$5:$DZ$10,114)</f>
        <v>0</v>
      </c>
      <c r="Y34" s="192" t="s">
        <v>10</v>
      </c>
      <c r="Z34" s="190">
        <f>VLOOKUP($B32,Schlüssel!$A$5:$DZ$10,115)</f>
        <v>0</v>
      </c>
      <c r="AA34" s="192" t="s">
        <v>10</v>
      </c>
      <c r="AB34" s="190">
        <f>VLOOKUP($B32,Schlüssel!$A$5:$DZ$10,116)</f>
        <v>0</v>
      </c>
      <c r="AC34" s="192" t="s">
        <v>10</v>
      </c>
      <c r="AD34" s="191">
        <f>VLOOKUP($B32,Schlüssel!$A$5:$DZ$10,117)</f>
        <v>0</v>
      </c>
      <c r="AE34" s="192" t="s">
        <v>10</v>
      </c>
      <c r="AF34" s="191">
        <f>VLOOKUP($B32,Schlüssel!$A$5:$DZ$10,118)</f>
        <v>0</v>
      </c>
      <c r="BA34" s="220"/>
      <c r="BB34" s="221"/>
      <c r="BC34" s="222"/>
      <c r="BN34" s="224"/>
      <c r="BO34" s="222"/>
      <c r="BS34" s="222"/>
      <c r="BT34" s="224"/>
      <c r="BW34" s="222"/>
    </row>
    <row r="35" spans="1:75" ht="20.25" customHeight="1" x14ac:dyDescent="0.25">
      <c r="B35" s="40" t="s">
        <v>1</v>
      </c>
      <c r="C35" s="41"/>
      <c r="D35" s="363" t="s">
        <v>1789</v>
      </c>
      <c r="E35" s="364"/>
      <c r="F35" s="363" t="s">
        <v>1790</v>
      </c>
      <c r="G35" s="364"/>
      <c r="H35" s="363" t="s">
        <v>1791</v>
      </c>
      <c r="I35" s="364"/>
      <c r="J35" s="363" t="s">
        <v>1792</v>
      </c>
      <c r="K35" s="364"/>
      <c r="L35" s="363" t="s">
        <v>1793</v>
      </c>
      <c r="M35" s="364"/>
      <c r="N35" s="365" t="s">
        <v>1788</v>
      </c>
      <c r="O35" s="366"/>
      <c r="S35" s="40" t="s">
        <v>1</v>
      </c>
      <c r="T35" s="41"/>
      <c r="U35" s="363" t="s">
        <v>1789</v>
      </c>
      <c r="V35" s="364"/>
      <c r="W35" s="363" t="s">
        <v>1790</v>
      </c>
      <c r="X35" s="364"/>
      <c r="Y35" s="363" t="s">
        <v>1791</v>
      </c>
      <c r="Z35" s="364"/>
      <c r="AA35" s="363" t="s">
        <v>1792</v>
      </c>
      <c r="AB35" s="364"/>
      <c r="AC35" s="363" t="s">
        <v>1793</v>
      </c>
      <c r="AD35" s="368"/>
      <c r="AE35" s="363" t="s">
        <v>2088</v>
      </c>
      <c r="AF35" s="368"/>
      <c r="AG35" s="367" t="s">
        <v>1788</v>
      </c>
      <c r="AH35" s="36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7" t="s">
        <v>0</v>
      </c>
      <c r="B37" s="17" t="str">
        <f>IF(S37=0,"",S37)</f>
        <v/>
      </c>
      <c r="C37" s="18" t="str">
        <f>IF(T37=0,"",T37)</f>
        <v/>
      </c>
      <c r="D37" s="14" t="str">
        <f>IF(U37=0,"",U37)</f>
        <v/>
      </c>
      <c r="E37" s="356" t="e">
        <f>IF(V37="","",V37)</f>
        <v>#N/A</v>
      </c>
      <c r="F37" s="14" t="str">
        <f t="shared" ref="F37:F50" si="26">IF(W37=0,"",W37)</f>
        <v/>
      </c>
      <c r="G37" s="356" t="e">
        <f>IF(X37="","",X37)</f>
        <v>#N/A</v>
      </c>
      <c r="H37" s="14" t="str">
        <f t="shared" ref="H37:H50" si="27">IF(Y37=0,"",Y37)</f>
        <v/>
      </c>
      <c r="I37" s="356" t="e">
        <f>IF(Z37="","",Z37)</f>
        <v>#N/A</v>
      </c>
      <c r="J37" s="14" t="str">
        <f t="shared" ref="J37:J50" si="28">IF(AA37=0,"",AA37)</f>
        <v/>
      </c>
      <c r="K37" s="356" t="e">
        <f>IF(AB37="","",AB37)</f>
        <v>#N/A</v>
      </c>
      <c r="L37" s="14" t="str">
        <f t="shared" ref="L37:L50" si="29">IF(AC37=0,"",AC37)</f>
        <v/>
      </c>
      <c r="M37" s="356" t="e">
        <f>IF(AD37="","",AD37)</f>
        <v>#N/A</v>
      </c>
      <c r="N37" s="14" t="str">
        <f t="shared" ref="N37:N50" si="30">IF(AG37=0,"",AG37)</f>
        <v/>
      </c>
      <c r="O37" s="356" t="e">
        <f>IF(AH37="","",AH37)</f>
        <v>#N/A</v>
      </c>
      <c r="R37" s="359"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1">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5">
      <c r="A38" s="378"/>
      <c r="B38" s="19" t="str">
        <f t="shared" ref="B38:D50" si="47">IF(S38=0,"",S38)</f>
        <v/>
      </c>
      <c r="C38" s="20" t="str">
        <f t="shared" si="47"/>
        <v/>
      </c>
      <c r="D38" s="15" t="str">
        <f t="shared" si="47"/>
        <v/>
      </c>
      <c r="E38" s="357"/>
      <c r="F38" s="15" t="str">
        <f t="shared" si="26"/>
        <v/>
      </c>
      <c r="G38" s="357"/>
      <c r="H38" s="15" t="str">
        <f t="shared" si="27"/>
        <v/>
      </c>
      <c r="I38" s="357"/>
      <c r="J38" s="15" t="str">
        <f t="shared" si="28"/>
        <v/>
      </c>
      <c r="K38" s="357"/>
      <c r="L38" s="15" t="str">
        <f t="shared" si="29"/>
        <v/>
      </c>
      <c r="M38" s="357"/>
      <c r="N38" s="15" t="str">
        <f t="shared" si="30"/>
        <v/>
      </c>
      <c r="O38" s="357"/>
      <c r="R38" s="360"/>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3">
      <c r="A39" s="379"/>
      <c r="B39" s="21" t="str">
        <f t="shared" si="47"/>
        <v/>
      </c>
      <c r="C39" s="22" t="str">
        <f t="shared" si="47"/>
        <v/>
      </c>
      <c r="D39" s="9" t="str">
        <f t="shared" si="47"/>
        <v/>
      </c>
      <c r="E39" s="358"/>
      <c r="F39" s="9" t="str">
        <f t="shared" si="26"/>
        <v/>
      </c>
      <c r="G39" s="358"/>
      <c r="H39" s="9" t="str">
        <f t="shared" si="27"/>
        <v/>
      </c>
      <c r="I39" s="358"/>
      <c r="J39" s="9" t="str">
        <f t="shared" si="28"/>
        <v/>
      </c>
      <c r="K39" s="358"/>
      <c r="L39" s="9" t="str">
        <f t="shared" si="29"/>
        <v/>
      </c>
      <c r="M39" s="358"/>
      <c r="N39" s="9" t="str">
        <f t="shared" si="30"/>
        <v/>
      </c>
      <c r="O39" s="358"/>
      <c r="R39" s="361"/>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5">
      <c r="A40" s="377" t="s">
        <v>2</v>
      </c>
      <c r="B40" s="17" t="str">
        <f t="shared" si="47"/>
        <v/>
      </c>
      <c r="C40" s="18" t="str">
        <f t="shared" si="47"/>
        <v/>
      </c>
      <c r="D40" s="14" t="str">
        <f t="shared" si="47"/>
        <v/>
      </c>
      <c r="E40" s="356" t="e">
        <f>IF(V40="","",V40)</f>
        <v>#N/A</v>
      </c>
      <c r="F40" s="14" t="str">
        <f t="shared" si="26"/>
        <v/>
      </c>
      <c r="G40" s="356" t="e">
        <f>IF(X40="","",X40)</f>
        <v>#N/A</v>
      </c>
      <c r="H40" s="14" t="str">
        <f t="shared" si="27"/>
        <v/>
      </c>
      <c r="I40" s="356" t="e">
        <f>IF(Z40="","",Z40)</f>
        <v>#N/A</v>
      </c>
      <c r="J40" s="14" t="str">
        <f t="shared" si="28"/>
        <v/>
      </c>
      <c r="K40" s="356" t="e">
        <f>IF(AB40="","",AB40)</f>
        <v>#N/A</v>
      </c>
      <c r="L40" s="14" t="str">
        <f t="shared" si="29"/>
        <v/>
      </c>
      <c r="M40" s="356" t="e">
        <f>IF(AD40="","",AD40)</f>
        <v>#N/A</v>
      </c>
      <c r="N40" s="14" t="str">
        <f t="shared" si="30"/>
        <v/>
      </c>
      <c r="O40" s="356" t="e">
        <f>IF(AH40="","",AH40)</f>
        <v>#N/A</v>
      </c>
      <c r="R40" s="359"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1"/>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5">
      <c r="A41" s="378"/>
      <c r="B41" s="19" t="str">
        <f t="shared" si="47"/>
        <v/>
      </c>
      <c r="C41" s="20" t="str">
        <f t="shared" si="47"/>
        <v/>
      </c>
      <c r="D41" s="15" t="str">
        <f t="shared" si="47"/>
        <v/>
      </c>
      <c r="E41" s="357"/>
      <c r="F41" s="15" t="str">
        <f t="shared" si="26"/>
        <v/>
      </c>
      <c r="G41" s="357"/>
      <c r="H41" s="15" t="str">
        <f t="shared" si="27"/>
        <v/>
      </c>
      <c r="I41" s="357"/>
      <c r="J41" s="15" t="str">
        <f t="shared" si="28"/>
        <v/>
      </c>
      <c r="K41" s="357"/>
      <c r="L41" s="15" t="str">
        <f t="shared" si="29"/>
        <v/>
      </c>
      <c r="M41" s="357"/>
      <c r="N41" s="15" t="str">
        <f t="shared" si="30"/>
        <v/>
      </c>
      <c r="O41" s="357"/>
      <c r="R41" s="360"/>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3">
      <c r="A42" s="379"/>
      <c r="B42" s="21" t="str">
        <f t="shared" si="47"/>
        <v/>
      </c>
      <c r="C42" s="22" t="str">
        <f t="shared" si="47"/>
        <v/>
      </c>
      <c r="D42" s="9" t="str">
        <f t="shared" si="47"/>
        <v/>
      </c>
      <c r="E42" s="358"/>
      <c r="F42" s="9" t="str">
        <f t="shared" si="26"/>
        <v/>
      </c>
      <c r="G42" s="358"/>
      <c r="H42" s="9" t="str">
        <f t="shared" si="27"/>
        <v/>
      </c>
      <c r="I42" s="358"/>
      <c r="J42" s="9" t="str">
        <f t="shared" si="28"/>
        <v/>
      </c>
      <c r="K42" s="358"/>
      <c r="L42" s="9" t="str">
        <f t="shared" si="29"/>
        <v/>
      </c>
      <c r="M42" s="358"/>
      <c r="N42" s="9" t="str">
        <f t="shared" si="30"/>
        <v/>
      </c>
      <c r="O42" s="358"/>
      <c r="R42" s="361"/>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5">
      <c r="A43" s="377" t="s">
        <v>3</v>
      </c>
      <c r="B43" s="17" t="str">
        <f t="shared" si="47"/>
        <v/>
      </c>
      <c r="C43" s="18" t="str">
        <f t="shared" si="47"/>
        <v/>
      </c>
      <c r="D43" s="14" t="str">
        <f t="shared" si="47"/>
        <v/>
      </c>
      <c r="E43" s="356" t="e">
        <f>IF(V43="","",V43)</f>
        <v>#N/A</v>
      </c>
      <c r="F43" s="14" t="str">
        <f t="shared" si="26"/>
        <v/>
      </c>
      <c r="G43" s="356" t="e">
        <f>IF(X43="","",X43)</f>
        <v>#N/A</v>
      </c>
      <c r="H43" s="14" t="str">
        <f t="shared" si="27"/>
        <v/>
      </c>
      <c r="I43" s="356" t="e">
        <f>IF(Z43="","",Z43)</f>
        <v>#N/A</v>
      </c>
      <c r="J43" s="14" t="str">
        <f t="shared" si="28"/>
        <v/>
      </c>
      <c r="K43" s="356" t="e">
        <f>IF(AB43="","",AB43)</f>
        <v>#N/A</v>
      </c>
      <c r="L43" s="14" t="str">
        <f t="shared" si="29"/>
        <v/>
      </c>
      <c r="M43" s="356" t="e">
        <f>IF(AD43="","",AD43)</f>
        <v>#N/A</v>
      </c>
      <c r="N43" s="14" t="str">
        <f t="shared" si="30"/>
        <v/>
      </c>
      <c r="O43" s="356" t="e">
        <f>IF(AH43="","",AH43)</f>
        <v>#N/A</v>
      </c>
      <c r="R43" s="359"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1"/>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5">
      <c r="A44" s="378"/>
      <c r="B44" s="19" t="str">
        <f t="shared" si="47"/>
        <v/>
      </c>
      <c r="C44" s="20" t="str">
        <f t="shared" si="47"/>
        <v/>
      </c>
      <c r="D44" s="15" t="str">
        <f t="shared" si="47"/>
        <v/>
      </c>
      <c r="E44" s="357"/>
      <c r="F44" s="15" t="str">
        <f t="shared" si="26"/>
        <v/>
      </c>
      <c r="G44" s="357"/>
      <c r="H44" s="15" t="str">
        <f t="shared" si="27"/>
        <v/>
      </c>
      <c r="I44" s="357"/>
      <c r="J44" s="15" t="str">
        <f t="shared" si="28"/>
        <v/>
      </c>
      <c r="K44" s="357"/>
      <c r="L44" s="15" t="str">
        <f t="shared" si="29"/>
        <v/>
      </c>
      <c r="M44" s="357"/>
      <c r="N44" s="15" t="str">
        <f t="shared" si="30"/>
        <v/>
      </c>
      <c r="O44" s="357"/>
      <c r="R44" s="360"/>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3">
      <c r="A45" s="379"/>
      <c r="B45" s="21" t="str">
        <f t="shared" si="47"/>
        <v/>
      </c>
      <c r="C45" s="22" t="str">
        <f t="shared" si="47"/>
        <v/>
      </c>
      <c r="D45" s="9" t="str">
        <f t="shared" si="47"/>
        <v/>
      </c>
      <c r="E45" s="358"/>
      <c r="F45" s="9" t="str">
        <f t="shared" si="26"/>
        <v/>
      </c>
      <c r="G45" s="358"/>
      <c r="H45" s="9" t="str">
        <f t="shared" si="27"/>
        <v/>
      </c>
      <c r="I45" s="358"/>
      <c r="J45" s="9" t="str">
        <f t="shared" si="28"/>
        <v/>
      </c>
      <c r="K45" s="358"/>
      <c r="L45" s="9" t="str">
        <f t="shared" si="29"/>
        <v/>
      </c>
      <c r="M45" s="358"/>
      <c r="N45" s="9" t="str">
        <f t="shared" si="30"/>
        <v/>
      </c>
      <c r="O45" s="358"/>
      <c r="R45" s="361"/>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5">
      <c r="A46" s="377" t="s">
        <v>11</v>
      </c>
      <c r="B46" s="17" t="str">
        <f>IF(S46=0,"",S46)</f>
        <v/>
      </c>
      <c r="C46" s="18" t="str">
        <f t="shared" si="47"/>
        <v/>
      </c>
      <c r="D46" s="14" t="str">
        <f t="shared" si="47"/>
        <v/>
      </c>
      <c r="E46" s="356" t="e">
        <f>IF(V46="","",V46)</f>
        <v>#N/A</v>
      </c>
      <c r="F46" s="14" t="str">
        <f t="shared" si="26"/>
        <v/>
      </c>
      <c r="G46" s="356" t="e">
        <f>IF(X46="","",X46)</f>
        <v>#N/A</v>
      </c>
      <c r="H46" s="14" t="str">
        <f t="shared" si="27"/>
        <v/>
      </c>
      <c r="I46" s="356" t="e">
        <f>IF(Z46="","",Z46)</f>
        <v>#N/A</v>
      </c>
      <c r="J46" s="14" t="str">
        <f t="shared" si="28"/>
        <v/>
      </c>
      <c r="K46" s="356" t="e">
        <f>IF(AB46="","",AB46)</f>
        <v>#N/A</v>
      </c>
      <c r="L46" s="14" t="str">
        <f t="shared" si="29"/>
        <v/>
      </c>
      <c r="M46" s="356" t="e">
        <f>IF(AD46="","",AD46)</f>
        <v>#N/A</v>
      </c>
      <c r="N46" s="14" t="str">
        <f t="shared" si="30"/>
        <v/>
      </c>
      <c r="O46" s="356" t="e">
        <f>IF(AH46="","",AH46)</f>
        <v>#N/A</v>
      </c>
      <c r="R46" s="359"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1"/>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5">
      <c r="A47" s="378"/>
      <c r="B47" s="19" t="str">
        <f>IF(S47=0,"",S47)</f>
        <v/>
      </c>
      <c r="C47" s="20" t="str">
        <f t="shared" si="47"/>
        <v/>
      </c>
      <c r="D47" s="15" t="str">
        <f t="shared" si="47"/>
        <v/>
      </c>
      <c r="E47" s="357"/>
      <c r="F47" s="15" t="str">
        <f t="shared" si="26"/>
        <v/>
      </c>
      <c r="G47" s="357"/>
      <c r="H47" s="15" t="str">
        <f t="shared" si="27"/>
        <v/>
      </c>
      <c r="I47" s="357"/>
      <c r="J47" s="15" t="str">
        <f t="shared" si="28"/>
        <v/>
      </c>
      <c r="K47" s="357"/>
      <c r="L47" s="15" t="str">
        <f t="shared" si="29"/>
        <v/>
      </c>
      <c r="M47" s="357"/>
      <c r="N47" s="15" t="str">
        <f t="shared" si="30"/>
        <v/>
      </c>
      <c r="O47" s="357"/>
      <c r="R47" s="360"/>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3">
      <c r="A48" s="379"/>
      <c r="B48" s="21" t="str">
        <f>IF(S48=0,"",S48)</f>
        <v/>
      </c>
      <c r="C48" s="22" t="str">
        <f t="shared" si="47"/>
        <v/>
      </c>
      <c r="D48" s="9" t="str">
        <f t="shared" si="47"/>
        <v/>
      </c>
      <c r="E48" s="358"/>
      <c r="F48" s="9" t="str">
        <f t="shared" si="26"/>
        <v/>
      </c>
      <c r="G48" s="358"/>
      <c r="H48" s="9" t="str">
        <f t="shared" si="27"/>
        <v/>
      </c>
      <c r="I48" s="358"/>
      <c r="J48" s="9" t="str">
        <f t="shared" si="28"/>
        <v/>
      </c>
      <c r="K48" s="358"/>
      <c r="L48" s="9" t="str">
        <f t="shared" si="29"/>
        <v/>
      </c>
      <c r="M48" s="358"/>
      <c r="N48" s="9" t="str">
        <f t="shared" si="30"/>
        <v/>
      </c>
      <c r="O48" s="358"/>
      <c r="R48" s="361"/>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3">
      <c r="B49" s="11" t="str">
        <f>IF(S49=0,"",S49)</f>
        <v>Gesamt</v>
      </c>
      <c r="C49" s="26" t="str">
        <f t="shared" si="47"/>
        <v/>
      </c>
      <c r="D49" s="16" t="str">
        <f t="shared" si="47"/>
        <v/>
      </c>
      <c r="E49" s="12" t="e">
        <f>IF(V49="","",V49)</f>
        <v>#N/A</v>
      </c>
      <c r="F49" s="16" t="str">
        <f t="shared" si="26"/>
        <v/>
      </c>
      <c r="G49" s="12" t="e">
        <f>IF(X49="","",X49)</f>
        <v>#N/A</v>
      </c>
      <c r="H49" s="16" t="str">
        <f t="shared" si="27"/>
        <v/>
      </c>
      <c r="I49" s="12" t="e">
        <f>IF(Z49="","",Z49)</f>
        <v>#N/A</v>
      </c>
      <c r="J49" s="16" t="str">
        <f t="shared" si="28"/>
        <v/>
      </c>
      <c r="K49" s="12" t="e">
        <f>IF(AB49="","",AB49)</f>
        <v>#N/A</v>
      </c>
      <c r="L49" s="16" t="str">
        <f t="shared" si="29"/>
        <v/>
      </c>
      <c r="M49" s="12" t="e">
        <f>IF(AD49="","",AD49)</f>
        <v>#N/A</v>
      </c>
      <c r="N49" s="16" t="str">
        <f t="shared" si="30"/>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7"/>
        <v/>
      </c>
      <c r="D50" s="1" t="str">
        <f t="shared" si="47"/>
        <v/>
      </c>
      <c r="E50" s="23" t="e">
        <f>IF(V50="","",V50)</f>
        <v>#N/A</v>
      </c>
      <c r="F50" s="1" t="str">
        <f t="shared" si="26"/>
        <v/>
      </c>
      <c r="G50" s="23" t="e">
        <f>IF(X50="","",X50)</f>
        <v>#N/A</v>
      </c>
      <c r="H50" s="1" t="str">
        <f t="shared" si="27"/>
        <v/>
      </c>
      <c r="I50" s="23" t="e">
        <f>IF(Z50="","",Z50)</f>
        <v>#N/A</v>
      </c>
      <c r="J50" s="1" t="str">
        <f t="shared" si="28"/>
        <v/>
      </c>
      <c r="K50" s="23" t="e">
        <f>IF(AB50="","",AB50)</f>
        <v>#N/A</v>
      </c>
      <c r="L50" s="1" t="str">
        <f t="shared" si="29"/>
        <v/>
      </c>
      <c r="M50" s="23" t="e">
        <f>IF(AD50="","",AD50)</f>
        <v>#N/A</v>
      </c>
      <c r="N50" s="1" t="str">
        <f t="shared" si="30"/>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4" si="50">IF(S52=0,"",S52)</f>
        <v>Gegner-Nr.:</v>
      </c>
      <c r="C52" s="5" t="str">
        <f t="shared" si="50"/>
        <v>&gt;&gt;&gt;&gt;</v>
      </c>
      <c r="D52" s="354" t="str">
        <f t="shared" si="50"/>
        <v/>
      </c>
      <c r="E52" s="354" t="str">
        <f t="shared" si="50"/>
        <v/>
      </c>
      <c r="F52" s="354" t="str">
        <f t="shared" si="50"/>
        <v/>
      </c>
      <c r="G52" s="354" t="str">
        <f t="shared" si="50"/>
        <v/>
      </c>
      <c r="H52" s="354" t="str">
        <f t="shared" si="50"/>
        <v/>
      </c>
      <c r="I52" s="354" t="str">
        <f t="shared" si="50"/>
        <v/>
      </c>
      <c r="J52" s="354" t="str">
        <f t="shared" si="50"/>
        <v/>
      </c>
      <c r="K52" s="354" t="str">
        <f t="shared" si="50"/>
        <v/>
      </c>
      <c r="L52" s="354" t="str">
        <f t="shared" si="50"/>
        <v/>
      </c>
      <c r="M52" s="354" t="str">
        <f t="shared" si="50"/>
        <v/>
      </c>
      <c r="N52" s="355"/>
      <c r="O52" s="355"/>
      <c r="S52" s="13" t="s">
        <v>1786</v>
      </c>
      <c r="T52" s="5" t="s">
        <v>1787</v>
      </c>
      <c r="U52" s="373">
        <f>VLOOKUP($S32,Schlüssel!$A$5:$DR$10,103)</f>
        <v>0</v>
      </c>
      <c r="V52" s="374"/>
      <c r="W52" s="373">
        <f>VLOOKUP($S32,Schlüssel!$A$5:$DR$10,104)</f>
        <v>0</v>
      </c>
      <c r="X52" s="374"/>
      <c r="Y52" s="373">
        <f>VLOOKUP($S32,Schlüssel!$A$5:$DR$10,105)</f>
        <v>0</v>
      </c>
      <c r="Z52" s="374"/>
      <c r="AA52" s="373">
        <f>VLOOKUP($S32,Schlüssel!$A$5:$DR$10,106)</f>
        <v>0</v>
      </c>
      <c r="AB52" s="374"/>
      <c r="AC52" s="373">
        <f>VLOOKUP($S32,Schlüssel!$A$5:$DR$10,107)</f>
        <v>0</v>
      </c>
      <c r="AD52" s="374"/>
      <c r="AE52" s="373">
        <f>VLOOKUP($S32,Schlüssel!$A$5:$DR$10,108)</f>
        <v>0</v>
      </c>
      <c r="AF52" s="374"/>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0"/>
        <v/>
      </c>
      <c r="C53" s="1" t="str">
        <f t="shared" si="50"/>
        <v/>
      </c>
      <c r="D53" s="351" t="e">
        <f t="shared" si="50"/>
        <v>#N/A</v>
      </c>
      <c r="E53" s="352" t="str">
        <f t="shared" si="50"/>
        <v/>
      </c>
      <c r="F53" s="351" t="e">
        <f t="shared" si="50"/>
        <v>#N/A</v>
      </c>
      <c r="G53" s="352" t="str">
        <f t="shared" si="50"/>
        <v/>
      </c>
      <c r="H53" s="351" t="e">
        <f t="shared" si="50"/>
        <v>#N/A</v>
      </c>
      <c r="I53" s="352" t="str">
        <f t="shared" si="50"/>
        <v/>
      </c>
      <c r="J53" s="351" t="e">
        <f t="shared" si="50"/>
        <v>#N/A</v>
      </c>
      <c r="K53" s="352" t="str">
        <f t="shared" si="50"/>
        <v/>
      </c>
      <c r="L53" s="351" t="e">
        <f t="shared" si="50"/>
        <v>#N/A</v>
      </c>
      <c r="M53" s="352" t="str">
        <f t="shared" si="50"/>
        <v/>
      </c>
      <c r="N53" s="353"/>
      <c r="O53" s="353"/>
      <c r="S53" s="4"/>
      <c r="T53" s="1"/>
      <c r="U53" s="351" t="e">
        <f>VLOOKUP(U52,Schlüssel!$A$5:$K$10,2)</f>
        <v>#N/A</v>
      </c>
      <c r="V53" s="352"/>
      <c r="W53" s="351" t="e">
        <f>VLOOKUP(W52,Schlüssel!$A$5:$K$10,2)</f>
        <v>#N/A</v>
      </c>
      <c r="X53" s="352"/>
      <c r="Y53" s="351" t="e">
        <f>VLOOKUP(Y52,Schlüssel!$A$5:$K$10,2)</f>
        <v>#N/A</v>
      </c>
      <c r="Z53" s="352"/>
      <c r="AA53" s="351" t="e">
        <f>VLOOKUP(AA52,Schlüssel!$A$5:$K$10,2)</f>
        <v>#N/A</v>
      </c>
      <c r="AB53" s="352"/>
      <c r="AC53" s="351" t="e">
        <f>VLOOKUP(AC52,Schlüssel!$A$5:$K$10,2)</f>
        <v>#N/A</v>
      </c>
      <c r="AD53" s="352"/>
      <c r="AE53" s="351" t="e">
        <f>VLOOKUP(AE52,Schlüssel!$A$5:$K$10,2)</f>
        <v>#N/A</v>
      </c>
      <c r="AF53" s="35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0"/>
        <v/>
      </c>
      <c r="C54" s="1" t="str">
        <f t="shared" si="50"/>
        <v/>
      </c>
      <c r="D54" s="350" t="str">
        <f t="shared" si="50"/>
        <v/>
      </c>
      <c r="E54" s="350" t="str">
        <f t="shared" si="50"/>
        <v/>
      </c>
      <c r="F54" s="350" t="str">
        <f t="shared" si="50"/>
        <v/>
      </c>
      <c r="G54" s="350" t="str">
        <f t="shared" si="50"/>
        <v/>
      </c>
      <c r="H54" s="350" t="str">
        <f t="shared" si="50"/>
        <v/>
      </c>
      <c r="I54" s="350" t="str">
        <f t="shared" si="50"/>
        <v/>
      </c>
      <c r="J54" s="350" t="str">
        <f t="shared" si="50"/>
        <v/>
      </c>
      <c r="K54" s="350" t="str">
        <f t="shared" si="50"/>
        <v/>
      </c>
      <c r="L54" s="350" t="str">
        <f t="shared" si="50"/>
        <v/>
      </c>
      <c r="M54" s="350" t="str">
        <f t="shared" si="50"/>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5" t="str">
        <f t="shared" ref="B55:C59" si="51">IF(S55=0,"",S55)</f>
        <v>Spieler 1</v>
      </c>
      <c r="C55" s="376" t="str">
        <f t="shared" si="51"/>
        <v/>
      </c>
      <c r="D55" s="348" t="e">
        <f>IF(U55=301,"",U55)</f>
        <v>#N/A</v>
      </c>
      <c r="E55" s="348" t="str">
        <f>IF(V55=0,"",V55)</f>
        <v/>
      </c>
      <c r="F55" s="348" t="e">
        <f>IF(W55=301,"",W55)</f>
        <v>#N/A</v>
      </c>
      <c r="G55" s="348" t="str">
        <f>IF(X55=0,"",X55)</f>
        <v/>
      </c>
      <c r="H55" s="348" t="e">
        <f>IF(Y55=301,"",Y55)</f>
        <v>#N/A</v>
      </c>
      <c r="I55" s="348" t="str">
        <f>IF(Z55=0,"",Z55)</f>
        <v/>
      </c>
      <c r="J55" s="348" t="e">
        <f>IF(AA55=301,"",AA55)</f>
        <v>#N/A</v>
      </c>
      <c r="K55" s="348" t="str">
        <f>IF(AB55=0,"",AB55)</f>
        <v/>
      </c>
      <c r="L55" s="348" t="e">
        <f>IF(AC55=301,"",AC55)</f>
        <v>#N/A</v>
      </c>
      <c r="M55" s="348" t="str">
        <f>IF(AD55=0,"",AD55)</f>
        <v/>
      </c>
      <c r="N55" s="349"/>
      <c r="O55" s="349"/>
      <c r="S55" s="35" t="s">
        <v>0</v>
      </c>
      <c r="T55" s="36"/>
      <c r="U55" s="371" t="e">
        <f>ABS(INDEX(U:U,MATCH(U52,$S:$S,0)+5)+INDEX(U:U,MATCH(U52,$S:$S,0)+6)+INDEX(U:U,MATCH(U52,$S:$S,0)+7))</f>
        <v>#N/A</v>
      </c>
      <c r="V55" s="372"/>
      <c r="W55" s="371" t="e">
        <f>ABS(INDEX(W:W,MATCH(W52,$S:$S,0)+5)+INDEX(W:W,MATCH(W52,$S:$S,0)+6)+INDEX(W:W,MATCH(W52,$S:$S,0)+7))</f>
        <v>#N/A</v>
      </c>
      <c r="X55" s="372"/>
      <c r="Y55" s="371" t="e">
        <f>ABS(INDEX(Y:Y,MATCH(Y52,$S:$S,0)+5)+INDEX(Y:Y,MATCH(Y52,$S:$S,0)+6)+INDEX(Y:Y,MATCH(Y52,$S:$S,0)+7))</f>
        <v>#N/A</v>
      </c>
      <c r="Z55" s="372"/>
      <c r="AA55" s="371" t="e">
        <f>ABS(INDEX(AA:AA,MATCH(AA52,$S:$S,0)+5)+INDEX(AA:AA,MATCH(AA52,$S:$S,0)+6)+INDEX(AA:AA,MATCH(AA52,$S:$S,0)+7))</f>
        <v>#N/A</v>
      </c>
      <c r="AB55" s="372"/>
      <c r="AC55" s="371" t="e">
        <f>ABS(INDEX(AC:AC,MATCH(AC52,$S:$S,0)+5)+INDEX(AC:AC,MATCH(AC52,$S:$S,0)+6)+INDEX(AC:AC,MATCH(AC52,$S:$S,0)+7))</f>
        <v>#N/A</v>
      </c>
      <c r="AD55" s="372"/>
      <c r="AE55" s="371" t="e">
        <f>ABS(INDEX(AE:AE,MATCH(AE52,$S:$S,0)+5)+INDEX(AE:AE,MATCH(AE52,$S:$S,0)+6)+INDEX(AE:AE,MATCH(AE52,$S:$S,0)+7))</f>
        <v>#N/A</v>
      </c>
      <c r="AF55" s="372"/>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5" t="str">
        <f t="shared" si="51"/>
        <v>Spieler 2</v>
      </c>
      <c r="C56" s="376" t="str">
        <f t="shared" si="51"/>
        <v/>
      </c>
      <c r="D56" s="348" t="e">
        <f>IF(U56=301,"",U56)</f>
        <v>#N/A</v>
      </c>
      <c r="E56" s="348" t="str">
        <f>IF(V56=0,"",V56)</f>
        <v/>
      </c>
      <c r="F56" s="348" t="e">
        <f>IF(W56=301,"",W56)</f>
        <v>#N/A</v>
      </c>
      <c r="G56" s="348" t="str">
        <f>IF(X56=0,"",X56)</f>
        <v/>
      </c>
      <c r="H56" s="348" t="e">
        <f>IF(Y56=301,"",Y56)</f>
        <v>#N/A</v>
      </c>
      <c r="I56" s="348" t="str">
        <f>IF(Z56=0,"",Z56)</f>
        <v/>
      </c>
      <c r="J56" s="348" t="e">
        <f>IF(AA56=301,"",AA56)</f>
        <v>#N/A</v>
      </c>
      <c r="K56" s="348" t="str">
        <f>IF(AB56=0,"",AB56)</f>
        <v/>
      </c>
      <c r="L56" s="348" t="e">
        <f>IF(AC56=301,"",AC56)</f>
        <v>#N/A</v>
      </c>
      <c r="M56" s="348" t="str">
        <f>IF(AD56=0,"",AD56)</f>
        <v/>
      </c>
      <c r="N56" s="349"/>
      <c r="O56" s="349"/>
      <c r="S56" s="35" t="s">
        <v>2</v>
      </c>
      <c r="T56" s="36"/>
      <c r="U56" s="369" t="e">
        <f>ABS(INDEX(U:U,MATCH(U52,$S:$S,0)+8)+INDEX(U:U,MATCH(U52,$S:$S,0)+9)+INDEX(U:U,MATCH(U52,$S:$S,0)+10))</f>
        <v>#N/A</v>
      </c>
      <c r="V56" s="370"/>
      <c r="W56" s="369" t="e">
        <f>ABS(INDEX(W:W,MATCH(W52,$S:$S,0)+8)+INDEX(W:W,MATCH(W52,$S:$S,0)+9)+INDEX(W:W,MATCH(W52,$S:$S,0)+10))</f>
        <v>#N/A</v>
      </c>
      <c r="X56" s="370"/>
      <c r="Y56" s="369" t="e">
        <f>ABS(INDEX(Y:Y,MATCH(Y52,$S:$S,0)+8)+INDEX(Y:Y,MATCH(Y52,$S:$S,0)+9)+INDEX(Y:Y,MATCH(Y52,$S:$S,0)+10))</f>
        <v>#N/A</v>
      </c>
      <c r="Z56" s="370"/>
      <c r="AA56" s="369" t="e">
        <f>ABS(INDEX(AA:AA,MATCH(AA52,$S:$S,0)+8)+INDEX(AA:AA,MATCH(AA52,$S:$S,0)+9)+INDEX(AA:AA,MATCH(AA52,$S:$S,0)+10))</f>
        <v>#N/A</v>
      </c>
      <c r="AB56" s="370"/>
      <c r="AC56" s="369" t="e">
        <f>ABS(INDEX(AC:AC,MATCH(AC52,$S:$S,0)+8)+INDEX(AC:AC,MATCH(AC52,$S:$S,0)+9)+INDEX(AC:AC,MATCH(AC52,$S:$S,0)+10))</f>
        <v>#N/A</v>
      </c>
      <c r="AD56" s="370"/>
      <c r="AE56" s="369" t="e">
        <f>ABS(INDEX(AE:AE,MATCH(AE52,$S:$S,0)+8)+INDEX(AE:AE,MATCH(AE52,$S:$S,0)+9)+INDEX(AE:AE,MATCH(AE52,$S:$S,0)+10))</f>
        <v>#N/A</v>
      </c>
      <c r="AF56" s="370"/>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5" t="str">
        <f t="shared" si="51"/>
        <v>Spieler 3</v>
      </c>
      <c r="C57" s="376" t="str">
        <f t="shared" si="51"/>
        <v/>
      </c>
      <c r="D57" s="348" t="e">
        <f>IF(U57=301,"",U57)</f>
        <v>#N/A</v>
      </c>
      <c r="E57" s="348" t="str">
        <f>IF(V57=0,"",V57)</f>
        <v/>
      </c>
      <c r="F57" s="348" t="e">
        <f>IF(W57=301,"",W57)</f>
        <v>#N/A</v>
      </c>
      <c r="G57" s="348" t="str">
        <f>IF(X57=0,"",X57)</f>
        <v/>
      </c>
      <c r="H57" s="348" t="e">
        <f>IF(Y57=301,"",Y57)</f>
        <v>#N/A</v>
      </c>
      <c r="I57" s="348" t="str">
        <f>IF(Z57=0,"",Z57)</f>
        <v/>
      </c>
      <c r="J57" s="348" t="e">
        <f>IF(AA57=301,"",AA57)</f>
        <v>#N/A</v>
      </c>
      <c r="K57" s="348" t="str">
        <f>IF(AB57=0,"",AB57)</f>
        <v/>
      </c>
      <c r="L57" s="348" t="e">
        <f>IF(AC57=301,"",AC57)</f>
        <v>#N/A</v>
      </c>
      <c r="M57" s="348" t="str">
        <f>IF(AD57=0,"",AD57)</f>
        <v/>
      </c>
      <c r="N57" s="349"/>
      <c r="O57" s="349"/>
      <c r="S57" s="35" t="s">
        <v>3</v>
      </c>
      <c r="T57" s="36"/>
      <c r="U57" s="369" t="e">
        <f>ABS(INDEX(U:U,MATCH(U52,$S:$S,0)+11)+INDEX(U:U,MATCH(U52,$S:$S,0)+12)+INDEX(U:U,MATCH(U52,$S:$S,0)+13))</f>
        <v>#N/A</v>
      </c>
      <c r="V57" s="370"/>
      <c r="W57" s="369" t="e">
        <f>ABS(INDEX(W:W,MATCH(W52,$S:$S,0)+11)+INDEX(W:W,MATCH(W52,$S:$S,0)+12)+INDEX(W:W,MATCH(W52,$S:$S,0)+13))</f>
        <v>#N/A</v>
      </c>
      <c r="X57" s="370"/>
      <c r="Y57" s="369" t="e">
        <f>ABS(INDEX(Y:Y,MATCH(Y52,$S:$S,0)+11)+INDEX(Y:Y,MATCH(Y52,$S:$S,0)+12)+INDEX(Y:Y,MATCH(Y52,$S:$S,0)+13))</f>
        <v>#N/A</v>
      </c>
      <c r="Z57" s="370"/>
      <c r="AA57" s="369" t="e">
        <f>ABS(INDEX(AA:AA,MATCH(AA52,$S:$S,0)+11)+INDEX(AA:AA,MATCH(AA52,$S:$S,0)+12)+INDEX(AA:AA,MATCH(AA52,$S:$S,0)+13))</f>
        <v>#N/A</v>
      </c>
      <c r="AB57" s="370"/>
      <c r="AC57" s="369" t="e">
        <f>ABS(INDEX(AC:AC,MATCH(AC52,$S:$S,0)+11)+INDEX(AC:AC,MATCH(AC52,$S:$S,0)+12)+INDEX(AC:AC,MATCH(AC52,$S:$S,0)+13))</f>
        <v>#N/A</v>
      </c>
      <c r="AD57" s="370"/>
      <c r="AE57" s="369" t="e">
        <f>ABS(INDEX(AE:AE,MATCH(AE52,$S:$S,0)+11)+INDEX(AE:AE,MATCH(AE52,$S:$S,0)+12)+INDEX(AE:AE,MATCH(AE52,$S:$S,0)+13))</f>
        <v>#N/A</v>
      </c>
      <c r="AF57" s="370"/>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5" t="str">
        <f t="shared" si="51"/>
        <v>Spieler 4</v>
      </c>
      <c r="C58" s="376" t="str">
        <f t="shared" si="51"/>
        <v/>
      </c>
      <c r="D58" s="348" t="e">
        <f>IF(U58=301,"",U58)</f>
        <v>#N/A</v>
      </c>
      <c r="E58" s="348" t="str">
        <f>IF(V58=0,"",V58)</f>
        <v/>
      </c>
      <c r="F58" s="348" t="e">
        <f>IF(W58=301,"",W58)</f>
        <v>#N/A</v>
      </c>
      <c r="G58" s="348" t="str">
        <f>IF(X58=0,"",X58)</f>
        <v/>
      </c>
      <c r="H58" s="348" t="e">
        <f>IF(Y58=301,"",Y58)</f>
        <v>#N/A</v>
      </c>
      <c r="I58" s="348" t="str">
        <f>IF(Z58=0,"",Z58)</f>
        <v/>
      </c>
      <c r="J58" s="348" t="e">
        <f>IF(AA58=301,"",AA58)</f>
        <v>#N/A</v>
      </c>
      <c r="K58" s="348" t="str">
        <f>IF(AB58=0,"",AB58)</f>
        <v/>
      </c>
      <c r="L58" s="348" t="e">
        <f>IF(AC58=301,"",AC58)</f>
        <v>#N/A</v>
      </c>
      <c r="M58" s="348" t="str">
        <f>IF(AD58=0,"",AD58)</f>
        <v/>
      </c>
      <c r="N58" s="349"/>
      <c r="O58" s="349"/>
      <c r="S58" s="35" t="s">
        <v>11</v>
      </c>
      <c r="T58" s="36"/>
      <c r="U58" s="369" t="e">
        <f>ABS(INDEX(U:U,MATCH(U52,$S:$S,0)+14)+INDEX(U:U,MATCH(U52,$S:$S,0)+15)+INDEX(U:U,MATCH(U52,$S:$S,0)+16))</f>
        <v>#N/A</v>
      </c>
      <c r="V58" s="370"/>
      <c r="W58" s="369" t="e">
        <f>ABS(INDEX(W:W,MATCH(W52,$S:$S,0)+14)+INDEX(W:W,MATCH(W52,$S:$S,0)+15)+INDEX(W:W,MATCH(W52,$S:$S,0)+16))</f>
        <v>#N/A</v>
      </c>
      <c r="X58" s="370"/>
      <c r="Y58" s="369" t="e">
        <f>ABS(INDEX(Y:Y,MATCH(Y52,$S:$S,0)+14)+INDEX(Y:Y,MATCH(Y52,$S:$S,0)+15)+INDEX(Y:Y,MATCH(Y52,$S:$S,0)+16))</f>
        <v>#N/A</v>
      </c>
      <c r="Z58" s="370"/>
      <c r="AA58" s="369" t="e">
        <f>ABS(INDEX(AA:AA,MATCH(AA52,$S:$S,0)+14)+INDEX(AA:AA,MATCH(AA52,$S:$S,0)+15)+INDEX(AA:AA,MATCH(AA52,$S:$S,0)+16))</f>
        <v>#N/A</v>
      </c>
      <c r="AB58" s="370"/>
      <c r="AC58" s="369" t="e">
        <f>ABS(INDEX(AC:AC,MATCH(AC52,$S:$S,0)+14)+INDEX(AC:AC,MATCH(AC52,$S:$S,0)+15)+INDEX(AC:AC,MATCH(AC52,$S:$S,0)+16))</f>
        <v>#N/A</v>
      </c>
      <c r="AD58" s="370"/>
      <c r="AE58" s="369" t="e">
        <f>ABS(INDEX(AE:AE,MATCH(AE52,$S:$S,0)+14)+INDEX(AE:AE,MATCH(AE52,$S:$S,0)+15)+INDEX(AE:AE,MATCH(AE52,$S:$S,0)+16))</f>
        <v>#N/A</v>
      </c>
      <c r="AF58" s="370"/>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3" t="str">
        <f t="shared" si="51"/>
        <v>Gesamt</v>
      </c>
      <c r="C59" s="364" t="str">
        <f t="shared" si="51"/>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12"/>
      <c r="O59" s="312"/>
      <c r="S59" s="37" t="s">
        <v>1788</v>
      </c>
      <c r="T59" s="38"/>
      <c r="U59" s="363" t="e">
        <f>SUM(U55:U58)</f>
        <v>#N/A</v>
      </c>
      <c r="V59" s="364"/>
      <c r="W59" s="363" t="e">
        <f>SUM(W55:W58)</f>
        <v>#N/A</v>
      </c>
      <c r="X59" s="364"/>
      <c r="Y59" s="363" t="e">
        <f>SUM(Y55:Y58)</f>
        <v>#N/A</v>
      </c>
      <c r="Z59" s="364"/>
      <c r="AA59" s="363" t="e">
        <f>SUM(AA55:AA58)</f>
        <v>#N/A</v>
      </c>
      <c r="AB59" s="364"/>
      <c r="AC59" s="363" t="e">
        <f>SUM(AC55:AC58)</f>
        <v>#N/A</v>
      </c>
      <c r="AD59" s="364"/>
      <c r="AE59" s="363" t="e">
        <f>SUM(AE55:AE58)</f>
        <v>#N/A</v>
      </c>
      <c r="AF59" s="364"/>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80"/>
      <c r="N61" s="380" t="str">
        <f>AD61</f>
        <v>18.05.</v>
      </c>
      <c r="O61" s="380"/>
      <c r="P61" s="381"/>
      <c r="Q61" s="381"/>
      <c r="R61" s="381"/>
      <c r="S61" s="7" t="s">
        <v>1798</v>
      </c>
      <c r="T61" s="25"/>
      <c r="U61" s="30" t="s">
        <v>1782</v>
      </c>
      <c r="V61" s="76" t="str">
        <f>Schlüssel!$C$1</f>
        <v>Landesliga Nord Frauen</v>
      </c>
      <c r="X61" s="25"/>
      <c r="Y61" s="25"/>
      <c r="Z61" s="25"/>
      <c r="AA61" s="25"/>
      <c r="AC61" s="29"/>
      <c r="AD61" s="362" t="str">
        <f>Schlüssel!$DI$1</f>
        <v>18.05.</v>
      </c>
      <c r="AE61" s="362"/>
      <c r="AF61" s="362"/>
      <c r="AG61" s="362"/>
      <c r="AH61" s="362"/>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22</v>
      </c>
      <c r="Y64" s="192" t="s">
        <v>10</v>
      </c>
      <c r="Z64" s="190">
        <f>VLOOKUP($B62,Schlüssel!$A$5:$DZ$10,115)</f>
        <v>21</v>
      </c>
      <c r="AA64" s="192" t="s">
        <v>10</v>
      </c>
      <c r="AB64" s="190">
        <f>VLOOKUP($B62,Schlüssel!$A$5:$DZ$10,116)</f>
        <v>22</v>
      </c>
      <c r="AC64" s="192" t="s">
        <v>10</v>
      </c>
      <c r="AD64" s="191">
        <f>VLOOKUP($B62,Schlüssel!$A$5:$DZ$10,117)</f>
        <v>21</v>
      </c>
      <c r="AE64" s="192" t="s">
        <v>10</v>
      </c>
      <c r="AF64" s="191">
        <f>VLOOKUP($B62,Schlüssel!$A$5:$DZ$10,118)</f>
        <v>22</v>
      </c>
      <c r="BA64" s="220"/>
      <c r="BB64" s="221"/>
      <c r="BC64" s="222"/>
      <c r="BN64" s="224"/>
      <c r="BO64" s="222"/>
      <c r="BS64" s="222"/>
      <c r="BT64" s="224"/>
      <c r="BW64" s="222"/>
    </row>
    <row r="65" spans="1:75" ht="20.25" customHeight="1" x14ac:dyDescent="0.25">
      <c r="B65" s="40" t="s">
        <v>1</v>
      </c>
      <c r="C65" s="41"/>
      <c r="D65" s="363" t="s">
        <v>1789</v>
      </c>
      <c r="E65" s="364"/>
      <c r="F65" s="363" t="s">
        <v>1790</v>
      </c>
      <c r="G65" s="364"/>
      <c r="H65" s="363" t="s">
        <v>1791</v>
      </c>
      <c r="I65" s="364"/>
      <c r="J65" s="363" t="s">
        <v>1792</v>
      </c>
      <c r="K65" s="364"/>
      <c r="L65" s="363" t="s">
        <v>1793</v>
      </c>
      <c r="M65" s="364"/>
      <c r="N65" s="365" t="s">
        <v>1788</v>
      </c>
      <c r="O65" s="366"/>
      <c r="S65" s="40" t="s">
        <v>1</v>
      </c>
      <c r="T65" s="41"/>
      <c r="U65" s="363" t="s">
        <v>1789</v>
      </c>
      <c r="V65" s="364"/>
      <c r="W65" s="363" t="s">
        <v>1790</v>
      </c>
      <c r="X65" s="364"/>
      <c r="Y65" s="363" t="s">
        <v>1791</v>
      </c>
      <c r="Z65" s="364"/>
      <c r="AA65" s="363" t="s">
        <v>1792</v>
      </c>
      <c r="AB65" s="364"/>
      <c r="AC65" s="363" t="s">
        <v>1793</v>
      </c>
      <c r="AD65" s="368"/>
      <c r="AE65" s="363" t="s">
        <v>2088</v>
      </c>
      <c r="AF65" s="368"/>
      <c r="AG65" s="367" t="s">
        <v>1788</v>
      </c>
      <c r="AH65" s="36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7" t="s">
        <v>0</v>
      </c>
      <c r="B67" s="17" t="str">
        <f>IF(S67=0,"",S67)</f>
        <v/>
      </c>
      <c r="C67" s="18" t="str">
        <f>IF(T67=0,"",T67)</f>
        <v/>
      </c>
      <c r="D67" s="14" t="str">
        <f>IF(U67=0,"",U67)</f>
        <v/>
      </c>
      <c r="E67" s="356">
        <f>IF(V67="","",V67)</f>
        <v>0</v>
      </c>
      <c r="F67" s="14" t="str">
        <f t="shared" ref="F67:F80" si="52">IF(W67=0,"",W67)</f>
        <v/>
      </c>
      <c r="G67" s="356">
        <f>IF(X67="","",X67)</f>
        <v>0</v>
      </c>
      <c r="H67" s="14" t="str">
        <f t="shared" ref="H67:H80" si="53">IF(Y67=0,"",Y67)</f>
        <v/>
      </c>
      <c r="I67" s="356">
        <f>IF(Z67="","",Z67)</f>
        <v>0</v>
      </c>
      <c r="J67" s="14" t="str">
        <f t="shared" ref="J67:J80" si="54">IF(AA67=0,"",AA67)</f>
        <v/>
      </c>
      <c r="K67" s="356">
        <f>IF(AB67="","",AB67)</f>
        <v>0</v>
      </c>
      <c r="L67" s="14" t="str">
        <f t="shared" ref="L67:L80" si="55">IF(AC67=0,"",AC67)</f>
        <v/>
      </c>
      <c r="M67" s="356">
        <f>IF(AD67="","",AD67)</f>
        <v>0</v>
      </c>
      <c r="N67" s="14" t="str">
        <f t="shared" ref="N67:N80" si="56">IF(AG67=0,"",AG67)</f>
        <v/>
      </c>
      <c r="O67" s="356">
        <f>IF(AH67="","",AH67)</f>
        <v>0</v>
      </c>
      <c r="R67" s="359"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5">
      <c r="A68" s="378"/>
      <c r="B68" s="19" t="str">
        <f t="shared" ref="B68:D80" si="73">IF(S68=0,"",S68)</f>
        <v/>
      </c>
      <c r="C68" s="20" t="str">
        <f t="shared" si="73"/>
        <v/>
      </c>
      <c r="D68" s="15" t="str">
        <f t="shared" si="73"/>
        <v/>
      </c>
      <c r="E68" s="357"/>
      <c r="F68" s="15" t="str">
        <f t="shared" si="52"/>
        <v/>
      </c>
      <c r="G68" s="357"/>
      <c r="H68" s="15" t="str">
        <f t="shared" si="53"/>
        <v/>
      </c>
      <c r="I68" s="357"/>
      <c r="J68" s="15" t="str">
        <f t="shared" si="54"/>
        <v/>
      </c>
      <c r="K68" s="357"/>
      <c r="L68" s="15" t="str">
        <f t="shared" si="55"/>
        <v/>
      </c>
      <c r="M68" s="357"/>
      <c r="N68" s="15" t="str">
        <f t="shared" si="56"/>
        <v/>
      </c>
      <c r="O68" s="357"/>
      <c r="R68" s="360"/>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3">
      <c r="A69" s="379"/>
      <c r="B69" s="21" t="str">
        <f t="shared" si="73"/>
        <v/>
      </c>
      <c r="C69" s="22" t="str">
        <f t="shared" si="73"/>
        <v/>
      </c>
      <c r="D69" s="9" t="str">
        <f t="shared" si="73"/>
        <v/>
      </c>
      <c r="E69" s="358"/>
      <c r="F69" s="9" t="str">
        <f t="shared" si="52"/>
        <v/>
      </c>
      <c r="G69" s="358"/>
      <c r="H69" s="9" t="str">
        <f t="shared" si="53"/>
        <v/>
      </c>
      <c r="I69" s="358"/>
      <c r="J69" s="9" t="str">
        <f t="shared" si="54"/>
        <v/>
      </c>
      <c r="K69" s="358"/>
      <c r="L69" s="9" t="str">
        <f t="shared" si="55"/>
        <v/>
      </c>
      <c r="M69" s="358"/>
      <c r="N69" s="9" t="str">
        <f t="shared" si="56"/>
        <v/>
      </c>
      <c r="O69" s="358"/>
      <c r="R69" s="361"/>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5">
      <c r="A70" s="377" t="s">
        <v>2</v>
      </c>
      <c r="B70" s="17" t="str">
        <f t="shared" si="73"/>
        <v/>
      </c>
      <c r="C70" s="18" t="str">
        <f t="shared" si="73"/>
        <v/>
      </c>
      <c r="D70" s="14" t="str">
        <f t="shared" si="73"/>
        <v/>
      </c>
      <c r="E70" s="356">
        <f>IF(V70="","",V70)</f>
        <v>0</v>
      </c>
      <c r="F70" s="14" t="str">
        <f t="shared" si="52"/>
        <v/>
      </c>
      <c r="G70" s="356">
        <f>IF(X70="","",X70)</f>
        <v>0</v>
      </c>
      <c r="H70" s="14" t="str">
        <f t="shared" si="53"/>
        <v/>
      </c>
      <c r="I70" s="356">
        <f>IF(Z70="","",Z70)</f>
        <v>0</v>
      </c>
      <c r="J70" s="14" t="str">
        <f t="shared" si="54"/>
        <v/>
      </c>
      <c r="K70" s="356">
        <f>IF(AB70="","",AB70)</f>
        <v>0</v>
      </c>
      <c r="L70" s="14" t="str">
        <f t="shared" si="55"/>
        <v/>
      </c>
      <c r="M70" s="356">
        <f>IF(AD70="","",AD70)</f>
        <v>0</v>
      </c>
      <c r="N70" s="14" t="str">
        <f t="shared" si="56"/>
        <v/>
      </c>
      <c r="O70" s="356">
        <f>IF(AH70="","",AH70)</f>
        <v>0</v>
      </c>
      <c r="R70" s="359"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5">
      <c r="A71" s="378"/>
      <c r="B71" s="19" t="str">
        <f t="shared" si="73"/>
        <v/>
      </c>
      <c r="C71" s="20" t="str">
        <f t="shared" si="73"/>
        <v/>
      </c>
      <c r="D71" s="15" t="str">
        <f t="shared" si="73"/>
        <v/>
      </c>
      <c r="E71" s="357"/>
      <c r="F71" s="15" t="str">
        <f t="shared" si="52"/>
        <v/>
      </c>
      <c r="G71" s="357"/>
      <c r="H71" s="15" t="str">
        <f t="shared" si="53"/>
        <v/>
      </c>
      <c r="I71" s="357"/>
      <c r="J71" s="15" t="str">
        <f t="shared" si="54"/>
        <v/>
      </c>
      <c r="K71" s="357"/>
      <c r="L71" s="15" t="str">
        <f t="shared" si="55"/>
        <v/>
      </c>
      <c r="M71" s="357"/>
      <c r="N71" s="15" t="str">
        <f t="shared" si="56"/>
        <v/>
      </c>
      <c r="O71" s="357"/>
      <c r="R71" s="360"/>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3">
      <c r="A72" s="379"/>
      <c r="B72" s="21" t="str">
        <f t="shared" si="73"/>
        <v/>
      </c>
      <c r="C72" s="22" t="str">
        <f t="shared" si="73"/>
        <v/>
      </c>
      <c r="D72" s="9" t="str">
        <f t="shared" si="73"/>
        <v/>
      </c>
      <c r="E72" s="358"/>
      <c r="F72" s="9" t="str">
        <f t="shared" si="52"/>
        <v/>
      </c>
      <c r="G72" s="358"/>
      <c r="H72" s="9" t="str">
        <f t="shared" si="53"/>
        <v/>
      </c>
      <c r="I72" s="358"/>
      <c r="J72" s="9" t="str">
        <f t="shared" si="54"/>
        <v/>
      </c>
      <c r="K72" s="358"/>
      <c r="L72" s="9" t="str">
        <f t="shared" si="55"/>
        <v/>
      </c>
      <c r="M72" s="358"/>
      <c r="N72" s="9" t="str">
        <f t="shared" si="56"/>
        <v/>
      </c>
      <c r="O72" s="358"/>
      <c r="R72" s="361"/>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5">
      <c r="A73" s="377" t="s">
        <v>3</v>
      </c>
      <c r="B73" s="17" t="str">
        <f t="shared" si="73"/>
        <v/>
      </c>
      <c r="C73" s="18" t="str">
        <f t="shared" si="73"/>
        <v/>
      </c>
      <c r="D73" s="14" t="str">
        <f t="shared" si="73"/>
        <v/>
      </c>
      <c r="E73" s="356">
        <f>IF(V73="","",V73)</f>
        <v>0</v>
      </c>
      <c r="F73" s="14" t="str">
        <f t="shared" si="52"/>
        <v/>
      </c>
      <c r="G73" s="356">
        <f>IF(X73="","",X73)</f>
        <v>0</v>
      </c>
      <c r="H73" s="14" t="str">
        <f t="shared" si="53"/>
        <v/>
      </c>
      <c r="I73" s="356">
        <f>IF(Z73="","",Z73)</f>
        <v>0</v>
      </c>
      <c r="J73" s="14" t="str">
        <f t="shared" si="54"/>
        <v/>
      </c>
      <c r="K73" s="356">
        <f>IF(AB73="","",AB73)</f>
        <v>0</v>
      </c>
      <c r="L73" s="14" t="str">
        <f t="shared" si="55"/>
        <v/>
      </c>
      <c r="M73" s="356">
        <f>IF(AD73="","",AD73)</f>
        <v>0</v>
      </c>
      <c r="N73" s="14" t="str">
        <f t="shared" si="56"/>
        <v/>
      </c>
      <c r="O73" s="356">
        <f>IF(AH73="","",AH73)</f>
        <v>0</v>
      </c>
      <c r="R73" s="359"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5">
      <c r="A74" s="378"/>
      <c r="B74" s="19" t="str">
        <f t="shared" si="73"/>
        <v/>
      </c>
      <c r="C74" s="20" t="str">
        <f t="shared" si="73"/>
        <v/>
      </c>
      <c r="D74" s="15" t="str">
        <f t="shared" si="73"/>
        <v/>
      </c>
      <c r="E74" s="357"/>
      <c r="F74" s="15" t="str">
        <f t="shared" si="52"/>
        <v/>
      </c>
      <c r="G74" s="357"/>
      <c r="H74" s="15" t="str">
        <f t="shared" si="53"/>
        <v/>
      </c>
      <c r="I74" s="357"/>
      <c r="J74" s="15" t="str">
        <f t="shared" si="54"/>
        <v/>
      </c>
      <c r="K74" s="357"/>
      <c r="L74" s="15" t="str">
        <f t="shared" si="55"/>
        <v/>
      </c>
      <c r="M74" s="357"/>
      <c r="N74" s="15" t="str">
        <f t="shared" si="56"/>
        <v/>
      </c>
      <c r="O74" s="357"/>
      <c r="R74" s="360"/>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3">
      <c r="A75" s="379"/>
      <c r="B75" s="21" t="str">
        <f t="shared" si="73"/>
        <v/>
      </c>
      <c r="C75" s="22" t="str">
        <f t="shared" si="73"/>
        <v/>
      </c>
      <c r="D75" s="9" t="str">
        <f t="shared" si="73"/>
        <v/>
      </c>
      <c r="E75" s="358"/>
      <c r="F75" s="9" t="str">
        <f t="shared" si="52"/>
        <v/>
      </c>
      <c r="G75" s="358"/>
      <c r="H75" s="9" t="str">
        <f t="shared" si="53"/>
        <v/>
      </c>
      <c r="I75" s="358"/>
      <c r="J75" s="9" t="str">
        <f t="shared" si="54"/>
        <v/>
      </c>
      <c r="K75" s="358"/>
      <c r="L75" s="9" t="str">
        <f t="shared" si="55"/>
        <v/>
      </c>
      <c r="M75" s="358"/>
      <c r="N75" s="9" t="str">
        <f t="shared" si="56"/>
        <v/>
      </c>
      <c r="O75" s="358"/>
      <c r="R75" s="361"/>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5">
      <c r="A76" s="377" t="s">
        <v>11</v>
      </c>
      <c r="B76" s="17" t="str">
        <f>IF(S76=0,"",S76)</f>
        <v/>
      </c>
      <c r="C76" s="18" t="str">
        <f t="shared" si="73"/>
        <v/>
      </c>
      <c r="D76" s="14" t="str">
        <f t="shared" si="73"/>
        <v/>
      </c>
      <c r="E76" s="356">
        <f>IF(V76="","",V76)</f>
        <v>0</v>
      </c>
      <c r="F76" s="14" t="str">
        <f t="shared" si="52"/>
        <v/>
      </c>
      <c r="G76" s="356">
        <f>IF(X76="","",X76)</f>
        <v>0</v>
      </c>
      <c r="H76" s="14" t="str">
        <f t="shared" si="53"/>
        <v/>
      </c>
      <c r="I76" s="356">
        <f>IF(Z76="","",Z76)</f>
        <v>0</v>
      </c>
      <c r="J76" s="14" t="str">
        <f t="shared" si="54"/>
        <v/>
      </c>
      <c r="K76" s="356">
        <f>IF(AB76="","",AB76)</f>
        <v>0</v>
      </c>
      <c r="L76" s="14" t="str">
        <f t="shared" si="55"/>
        <v/>
      </c>
      <c r="M76" s="356">
        <f>IF(AD76="","",AD76)</f>
        <v>0</v>
      </c>
      <c r="N76" s="14" t="str">
        <f t="shared" si="56"/>
        <v/>
      </c>
      <c r="O76" s="356">
        <f>IF(AH76="","",AH76)</f>
        <v>0</v>
      </c>
      <c r="R76" s="359"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5">
      <c r="A77" s="378"/>
      <c r="B77" s="19" t="str">
        <f>IF(S77=0,"",S77)</f>
        <v/>
      </c>
      <c r="C77" s="20" t="str">
        <f t="shared" si="73"/>
        <v/>
      </c>
      <c r="D77" s="15" t="str">
        <f t="shared" si="73"/>
        <v/>
      </c>
      <c r="E77" s="357"/>
      <c r="F77" s="15" t="str">
        <f t="shared" si="52"/>
        <v/>
      </c>
      <c r="G77" s="357"/>
      <c r="H77" s="15" t="str">
        <f t="shared" si="53"/>
        <v/>
      </c>
      <c r="I77" s="357"/>
      <c r="J77" s="15" t="str">
        <f t="shared" si="54"/>
        <v/>
      </c>
      <c r="K77" s="357"/>
      <c r="L77" s="15" t="str">
        <f t="shared" si="55"/>
        <v/>
      </c>
      <c r="M77" s="357"/>
      <c r="N77" s="15" t="str">
        <f t="shared" si="56"/>
        <v/>
      </c>
      <c r="O77" s="357"/>
      <c r="R77" s="360"/>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3">
      <c r="A78" s="379"/>
      <c r="B78" s="21" t="str">
        <f>IF(S78=0,"",S78)</f>
        <v/>
      </c>
      <c r="C78" s="22" t="str">
        <f t="shared" si="73"/>
        <v/>
      </c>
      <c r="D78" s="9" t="str">
        <f t="shared" si="73"/>
        <v/>
      </c>
      <c r="E78" s="358"/>
      <c r="F78" s="9" t="str">
        <f t="shared" si="52"/>
        <v/>
      </c>
      <c r="G78" s="358"/>
      <c r="H78" s="9" t="str">
        <f t="shared" si="53"/>
        <v/>
      </c>
      <c r="I78" s="358"/>
      <c r="J78" s="9" t="str">
        <f t="shared" si="54"/>
        <v/>
      </c>
      <c r="K78" s="358"/>
      <c r="L78" s="9" t="str">
        <f t="shared" si="55"/>
        <v/>
      </c>
      <c r="M78" s="358"/>
      <c r="N78" s="9" t="str">
        <f t="shared" si="56"/>
        <v/>
      </c>
      <c r="O78" s="358"/>
      <c r="R78" s="361"/>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3">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4" si="76">IF(S82=0,"",S82)</f>
        <v>Gegner-Nr.:</v>
      </c>
      <c r="C82" s="5" t="str">
        <f t="shared" si="76"/>
        <v>&gt;&gt;&gt;&gt;</v>
      </c>
      <c r="D82" s="354">
        <f t="shared" si="76"/>
        <v>1</v>
      </c>
      <c r="E82" s="354" t="str">
        <f t="shared" si="76"/>
        <v/>
      </c>
      <c r="F82" s="354">
        <f t="shared" si="76"/>
        <v>1</v>
      </c>
      <c r="G82" s="354" t="str">
        <f t="shared" si="76"/>
        <v/>
      </c>
      <c r="H82" s="354">
        <f t="shared" si="76"/>
        <v>1</v>
      </c>
      <c r="I82" s="354" t="str">
        <f t="shared" si="76"/>
        <v/>
      </c>
      <c r="J82" s="354">
        <f t="shared" si="76"/>
        <v>1</v>
      </c>
      <c r="K82" s="354" t="str">
        <f t="shared" si="76"/>
        <v/>
      </c>
      <c r="L82" s="354">
        <f t="shared" si="76"/>
        <v>1</v>
      </c>
      <c r="M82" s="354" t="str">
        <f t="shared" si="76"/>
        <v/>
      </c>
      <c r="N82" s="355"/>
      <c r="O82" s="355"/>
      <c r="S82" s="13" t="s">
        <v>1786</v>
      </c>
      <c r="T82" s="5" t="s">
        <v>1787</v>
      </c>
      <c r="U82" s="373">
        <f>VLOOKUP($S62,Schlüssel!$A$5:$DR$10,103)</f>
        <v>1</v>
      </c>
      <c r="V82" s="374"/>
      <c r="W82" s="373">
        <f>VLOOKUP($S62,Schlüssel!$A$5:$DR$10,104)</f>
        <v>1</v>
      </c>
      <c r="X82" s="374"/>
      <c r="Y82" s="373">
        <f>VLOOKUP($S62,Schlüssel!$A$5:$DR$10,105)</f>
        <v>1</v>
      </c>
      <c r="Z82" s="374"/>
      <c r="AA82" s="373">
        <f>VLOOKUP($S62,Schlüssel!$A$5:$DR$10,106)</f>
        <v>1</v>
      </c>
      <c r="AB82" s="374"/>
      <c r="AC82" s="373">
        <f>VLOOKUP($S62,Schlüssel!$A$5:$DR$10,107)</f>
        <v>1</v>
      </c>
      <c r="AD82" s="374"/>
      <c r="AE82" s="373">
        <f>VLOOKUP($S62,Schlüssel!$A$5:$DR$10,108)</f>
        <v>1</v>
      </c>
      <c r="AF82" s="374"/>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6"/>
        <v/>
      </c>
      <c r="C83" s="1" t="str">
        <f t="shared" si="76"/>
        <v/>
      </c>
      <c r="D83" s="351" t="str">
        <f t="shared" si="76"/>
        <v>Kleeblatt Fürth</v>
      </c>
      <c r="E83" s="352" t="str">
        <f t="shared" si="76"/>
        <v/>
      </c>
      <c r="F83" s="351" t="str">
        <f t="shared" si="76"/>
        <v>Kleeblatt Fürth</v>
      </c>
      <c r="G83" s="352" t="str">
        <f t="shared" si="76"/>
        <v/>
      </c>
      <c r="H83" s="351" t="str">
        <f t="shared" si="76"/>
        <v>Kleeblatt Fürth</v>
      </c>
      <c r="I83" s="352" t="str">
        <f t="shared" si="76"/>
        <v/>
      </c>
      <c r="J83" s="351" t="str">
        <f t="shared" si="76"/>
        <v>Kleeblatt Fürth</v>
      </c>
      <c r="K83" s="352" t="str">
        <f t="shared" si="76"/>
        <v/>
      </c>
      <c r="L83" s="351" t="str">
        <f t="shared" si="76"/>
        <v>Kleeblatt Fürth</v>
      </c>
      <c r="M83" s="352" t="str">
        <f t="shared" si="76"/>
        <v/>
      </c>
      <c r="N83" s="353"/>
      <c r="O83" s="353"/>
      <c r="S83" s="4"/>
      <c r="T83" s="1"/>
      <c r="U83" s="351" t="str">
        <f>VLOOKUP(U82,Schlüssel!$A$5:$K$10,2)</f>
        <v>Kleeblatt Fürth</v>
      </c>
      <c r="V83" s="352"/>
      <c r="W83" s="351" t="str">
        <f>VLOOKUP(W82,Schlüssel!$A$5:$K$10,2)</f>
        <v>Kleeblatt Fürth</v>
      </c>
      <c r="X83" s="352"/>
      <c r="Y83" s="351" t="str">
        <f>VLOOKUP(Y82,Schlüssel!$A$5:$K$10,2)</f>
        <v>Kleeblatt Fürth</v>
      </c>
      <c r="Z83" s="352"/>
      <c r="AA83" s="351" t="str">
        <f>VLOOKUP(AA82,Schlüssel!$A$5:$K$10,2)</f>
        <v>Kleeblatt Fürth</v>
      </c>
      <c r="AB83" s="352"/>
      <c r="AC83" s="351" t="str">
        <f>VLOOKUP(AC82,Schlüssel!$A$5:$K$10,2)</f>
        <v>Kleeblatt Fürth</v>
      </c>
      <c r="AD83" s="352"/>
      <c r="AE83" s="351" t="str">
        <f>VLOOKUP(AE82,Schlüssel!$A$5:$K$10,2)</f>
        <v>Kleeblatt Fürth</v>
      </c>
      <c r="AF83" s="35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6"/>
        <v/>
      </c>
      <c r="C84" s="1" t="str">
        <f t="shared" si="76"/>
        <v/>
      </c>
      <c r="D84" s="350" t="str">
        <f t="shared" si="76"/>
        <v/>
      </c>
      <c r="E84" s="350" t="str">
        <f t="shared" si="76"/>
        <v/>
      </c>
      <c r="F84" s="350" t="str">
        <f t="shared" si="76"/>
        <v/>
      </c>
      <c r="G84" s="350" t="str">
        <f t="shared" si="76"/>
        <v/>
      </c>
      <c r="H84" s="350" t="str">
        <f t="shared" si="76"/>
        <v/>
      </c>
      <c r="I84" s="350" t="str">
        <f t="shared" si="76"/>
        <v/>
      </c>
      <c r="J84" s="350" t="str">
        <f t="shared" si="76"/>
        <v/>
      </c>
      <c r="K84" s="350" t="str">
        <f t="shared" si="76"/>
        <v/>
      </c>
      <c r="L84" s="350" t="str">
        <f t="shared" si="76"/>
        <v/>
      </c>
      <c r="M84" s="350" t="str">
        <f t="shared" si="76"/>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5" t="str">
        <f t="shared" ref="B85:C89" si="77">IF(S85=0,"",S85)</f>
        <v>Spieler 1</v>
      </c>
      <c r="C85" s="376" t="str">
        <f t="shared" si="77"/>
        <v/>
      </c>
      <c r="D85" s="348">
        <f>IF(U85=301,"",U85)</f>
        <v>0</v>
      </c>
      <c r="E85" s="348" t="str">
        <f>IF(V85=0,"",V85)</f>
        <v/>
      </c>
      <c r="F85" s="348">
        <f>IF(W85=301,"",W85)</f>
        <v>0</v>
      </c>
      <c r="G85" s="348" t="str">
        <f>IF(X85=0,"",X85)</f>
        <v/>
      </c>
      <c r="H85" s="348">
        <f>IF(Y85=301,"",Y85)</f>
        <v>0</v>
      </c>
      <c r="I85" s="348" t="str">
        <f>IF(Z85=0,"",Z85)</f>
        <v/>
      </c>
      <c r="J85" s="348">
        <f>IF(AA85=301,"",AA85)</f>
        <v>0</v>
      </c>
      <c r="K85" s="348" t="str">
        <f>IF(AB85=0,"",AB85)</f>
        <v/>
      </c>
      <c r="L85" s="348">
        <f>IF(AC85=301,"",AC85)</f>
        <v>0</v>
      </c>
      <c r="M85" s="348" t="str">
        <f>IF(AD85=0,"",AD85)</f>
        <v/>
      </c>
      <c r="N85" s="349"/>
      <c r="O85" s="349"/>
      <c r="S85" s="35" t="s">
        <v>0</v>
      </c>
      <c r="T85" s="36"/>
      <c r="U85" s="371">
        <f>ABS(INDEX(U:U,MATCH(U82,$S:$S,0)+5)+INDEX(U:U,MATCH(U82,$S:$S,0)+6)+INDEX(U:U,MATCH(U82,$S:$S,0)+7))</f>
        <v>0</v>
      </c>
      <c r="V85" s="372"/>
      <c r="W85" s="371">
        <f>ABS(INDEX(W:W,MATCH(W82,$S:$S,0)+5)+INDEX(W:W,MATCH(W82,$S:$S,0)+6)+INDEX(W:W,MATCH(W82,$S:$S,0)+7))</f>
        <v>0</v>
      </c>
      <c r="X85" s="372"/>
      <c r="Y85" s="371">
        <f>ABS(INDEX(Y:Y,MATCH(Y82,$S:$S,0)+5)+INDEX(Y:Y,MATCH(Y82,$S:$S,0)+6)+INDEX(Y:Y,MATCH(Y82,$S:$S,0)+7))</f>
        <v>0</v>
      </c>
      <c r="Z85" s="372"/>
      <c r="AA85" s="371">
        <f>ABS(INDEX(AA:AA,MATCH(AA82,$S:$S,0)+5)+INDEX(AA:AA,MATCH(AA82,$S:$S,0)+6)+INDEX(AA:AA,MATCH(AA82,$S:$S,0)+7))</f>
        <v>0</v>
      </c>
      <c r="AB85" s="372"/>
      <c r="AC85" s="371">
        <f>ABS(INDEX(AC:AC,MATCH(AC82,$S:$S,0)+5)+INDEX(AC:AC,MATCH(AC82,$S:$S,0)+6)+INDEX(AC:AC,MATCH(AC82,$S:$S,0)+7))</f>
        <v>0</v>
      </c>
      <c r="AD85" s="372"/>
      <c r="AE85" s="371">
        <f>ABS(INDEX(AE:AE,MATCH(AE82,$S:$S,0)+5)+INDEX(AE:AE,MATCH(AE82,$S:$S,0)+6)+INDEX(AE:AE,MATCH(AE82,$S:$S,0)+7))</f>
        <v>0</v>
      </c>
      <c r="AF85" s="372"/>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5" t="str">
        <f t="shared" si="77"/>
        <v>Spieler 2</v>
      </c>
      <c r="C86" s="376" t="str">
        <f t="shared" si="77"/>
        <v/>
      </c>
      <c r="D86" s="348">
        <f>IF(U86=301,"",U86)</f>
        <v>0</v>
      </c>
      <c r="E86" s="348" t="str">
        <f>IF(V86=0,"",V86)</f>
        <v/>
      </c>
      <c r="F86" s="348">
        <f>IF(W86=301,"",W86)</f>
        <v>0</v>
      </c>
      <c r="G86" s="348" t="str">
        <f>IF(X86=0,"",X86)</f>
        <v/>
      </c>
      <c r="H86" s="348">
        <f>IF(Y86=301,"",Y86)</f>
        <v>0</v>
      </c>
      <c r="I86" s="348" t="str">
        <f>IF(Z86=0,"",Z86)</f>
        <v/>
      </c>
      <c r="J86" s="348">
        <f>IF(AA86=301,"",AA86)</f>
        <v>0</v>
      </c>
      <c r="K86" s="348" t="str">
        <f>IF(AB86=0,"",AB86)</f>
        <v/>
      </c>
      <c r="L86" s="348">
        <f>IF(AC86=301,"",AC86)</f>
        <v>0</v>
      </c>
      <c r="M86" s="348" t="str">
        <f>IF(AD86=0,"",AD86)</f>
        <v/>
      </c>
      <c r="N86" s="349"/>
      <c r="O86" s="349"/>
      <c r="S86" s="35" t="s">
        <v>2</v>
      </c>
      <c r="T86" s="36"/>
      <c r="U86" s="369">
        <f>ABS(INDEX(U:U,MATCH(U82,$S:$S,0)+8)+INDEX(U:U,MATCH(U82,$S:$S,0)+9)+INDEX(U:U,MATCH(U82,$S:$S,0)+10))</f>
        <v>0</v>
      </c>
      <c r="V86" s="370"/>
      <c r="W86" s="369">
        <f>ABS(INDEX(W:W,MATCH(W82,$S:$S,0)+8)+INDEX(W:W,MATCH(W82,$S:$S,0)+9)+INDEX(W:W,MATCH(W82,$S:$S,0)+10))</f>
        <v>0</v>
      </c>
      <c r="X86" s="370"/>
      <c r="Y86" s="369">
        <f>ABS(INDEX(Y:Y,MATCH(Y82,$S:$S,0)+8)+INDEX(Y:Y,MATCH(Y82,$S:$S,0)+9)+INDEX(Y:Y,MATCH(Y82,$S:$S,0)+10))</f>
        <v>0</v>
      </c>
      <c r="Z86" s="370"/>
      <c r="AA86" s="369">
        <f>ABS(INDEX(AA:AA,MATCH(AA82,$S:$S,0)+8)+INDEX(AA:AA,MATCH(AA82,$S:$S,0)+9)+INDEX(AA:AA,MATCH(AA82,$S:$S,0)+10))</f>
        <v>0</v>
      </c>
      <c r="AB86" s="370"/>
      <c r="AC86" s="369">
        <f>ABS(INDEX(AC:AC,MATCH(AC82,$S:$S,0)+8)+INDEX(AC:AC,MATCH(AC82,$S:$S,0)+9)+INDEX(AC:AC,MATCH(AC82,$S:$S,0)+10))</f>
        <v>0</v>
      </c>
      <c r="AD86" s="370"/>
      <c r="AE86" s="369">
        <f>ABS(INDEX(AE:AE,MATCH(AE82,$S:$S,0)+8)+INDEX(AE:AE,MATCH(AE82,$S:$S,0)+9)+INDEX(AE:AE,MATCH(AE82,$S:$S,0)+10))</f>
        <v>0</v>
      </c>
      <c r="AF86" s="370"/>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5" t="str">
        <f t="shared" si="77"/>
        <v>Spieler 3</v>
      </c>
      <c r="C87" s="376" t="str">
        <f t="shared" si="77"/>
        <v/>
      </c>
      <c r="D87" s="348">
        <f>IF(U87=301,"",U87)</f>
        <v>0</v>
      </c>
      <c r="E87" s="348" t="str">
        <f>IF(V87=0,"",V87)</f>
        <v/>
      </c>
      <c r="F87" s="348">
        <f>IF(W87=301,"",W87)</f>
        <v>0</v>
      </c>
      <c r="G87" s="348" t="str">
        <f>IF(X87=0,"",X87)</f>
        <v/>
      </c>
      <c r="H87" s="348">
        <f>IF(Y87=301,"",Y87)</f>
        <v>0</v>
      </c>
      <c r="I87" s="348" t="str">
        <f>IF(Z87=0,"",Z87)</f>
        <v/>
      </c>
      <c r="J87" s="348">
        <f>IF(AA87=301,"",AA87)</f>
        <v>0</v>
      </c>
      <c r="K87" s="348" t="str">
        <f>IF(AB87=0,"",AB87)</f>
        <v/>
      </c>
      <c r="L87" s="348">
        <f>IF(AC87=301,"",AC87)</f>
        <v>0</v>
      </c>
      <c r="M87" s="348" t="str">
        <f>IF(AD87=0,"",AD87)</f>
        <v/>
      </c>
      <c r="N87" s="349"/>
      <c r="O87" s="349"/>
      <c r="S87" s="35" t="s">
        <v>3</v>
      </c>
      <c r="T87" s="36"/>
      <c r="U87" s="369">
        <f>ABS(INDEX(U:U,MATCH(U82,$S:$S,0)+11)+INDEX(U:U,MATCH(U82,$S:$S,0)+12)+INDEX(U:U,MATCH(U82,$S:$S,0)+13))</f>
        <v>0</v>
      </c>
      <c r="V87" s="370"/>
      <c r="W87" s="369">
        <f>ABS(INDEX(W:W,MATCH(W82,$S:$S,0)+11)+INDEX(W:W,MATCH(W82,$S:$S,0)+12)+INDEX(W:W,MATCH(W82,$S:$S,0)+13))</f>
        <v>0</v>
      </c>
      <c r="X87" s="370"/>
      <c r="Y87" s="369">
        <f>ABS(INDEX(Y:Y,MATCH(Y82,$S:$S,0)+11)+INDEX(Y:Y,MATCH(Y82,$S:$S,0)+12)+INDEX(Y:Y,MATCH(Y82,$S:$S,0)+13))</f>
        <v>0</v>
      </c>
      <c r="Z87" s="370"/>
      <c r="AA87" s="369">
        <f>ABS(INDEX(AA:AA,MATCH(AA82,$S:$S,0)+11)+INDEX(AA:AA,MATCH(AA82,$S:$S,0)+12)+INDEX(AA:AA,MATCH(AA82,$S:$S,0)+13))</f>
        <v>0</v>
      </c>
      <c r="AB87" s="370"/>
      <c r="AC87" s="369">
        <f>ABS(INDEX(AC:AC,MATCH(AC82,$S:$S,0)+11)+INDEX(AC:AC,MATCH(AC82,$S:$S,0)+12)+INDEX(AC:AC,MATCH(AC82,$S:$S,0)+13))</f>
        <v>0</v>
      </c>
      <c r="AD87" s="370"/>
      <c r="AE87" s="369">
        <f>ABS(INDEX(AE:AE,MATCH(AE82,$S:$S,0)+11)+INDEX(AE:AE,MATCH(AE82,$S:$S,0)+12)+INDEX(AE:AE,MATCH(AE82,$S:$S,0)+13))</f>
        <v>0</v>
      </c>
      <c r="AF87" s="370"/>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5" t="str">
        <f t="shared" si="77"/>
        <v>Spieler 4</v>
      </c>
      <c r="C88" s="376" t="str">
        <f t="shared" si="77"/>
        <v/>
      </c>
      <c r="D88" s="348">
        <f>IF(U88=301,"",U88)</f>
        <v>0</v>
      </c>
      <c r="E88" s="348" t="str">
        <f>IF(V88=0,"",V88)</f>
        <v/>
      </c>
      <c r="F88" s="348">
        <f>IF(W88=301,"",W88)</f>
        <v>0</v>
      </c>
      <c r="G88" s="348" t="str">
        <f>IF(X88=0,"",X88)</f>
        <v/>
      </c>
      <c r="H88" s="348">
        <f>IF(Y88=301,"",Y88)</f>
        <v>0</v>
      </c>
      <c r="I88" s="348" t="str">
        <f>IF(Z88=0,"",Z88)</f>
        <v/>
      </c>
      <c r="J88" s="348">
        <f>IF(AA88=301,"",AA88)</f>
        <v>0</v>
      </c>
      <c r="K88" s="348" t="str">
        <f>IF(AB88=0,"",AB88)</f>
        <v/>
      </c>
      <c r="L88" s="348">
        <f>IF(AC88=301,"",AC88)</f>
        <v>0</v>
      </c>
      <c r="M88" s="348" t="str">
        <f>IF(AD88=0,"",AD88)</f>
        <v/>
      </c>
      <c r="N88" s="349"/>
      <c r="O88" s="349"/>
      <c r="S88" s="35" t="s">
        <v>11</v>
      </c>
      <c r="T88" s="36"/>
      <c r="U88" s="369">
        <f>ABS(INDEX(U:U,MATCH(U82,$S:$S,0)+14)+INDEX(U:U,MATCH(U82,$S:$S,0)+15)+INDEX(U:U,MATCH(U82,$S:$S,0)+16))</f>
        <v>0</v>
      </c>
      <c r="V88" s="370"/>
      <c r="W88" s="369">
        <f>ABS(INDEX(W:W,MATCH(W82,$S:$S,0)+14)+INDEX(W:W,MATCH(W82,$S:$S,0)+15)+INDEX(W:W,MATCH(W82,$S:$S,0)+16))</f>
        <v>0</v>
      </c>
      <c r="X88" s="370"/>
      <c r="Y88" s="369">
        <f>ABS(INDEX(Y:Y,MATCH(Y82,$S:$S,0)+14)+INDEX(Y:Y,MATCH(Y82,$S:$S,0)+15)+INDEX(Y:Y,MATCH(Y82,$S:$S,0)+16))</f>
        <v>0</v>
      </c>
      <c r="Z88" s="370"/>
      <c r="AA88" s="369">
        <f>ABS(INDEX(AA:AA,MATCH(AA82,$S:$S,0)+14)+INDEX(AA:AA,MATCH(AA82,$S:$S,0)+15)+INDEX(AA:AA,MATCH(AA82,$S:$S,0)+16))</f>
        <v>0</v>
      </c>
      <c r="AB88" s="370"/>
      <c r="AC88" s="369">
        <f>ABS(INDEX(AC:AC,MATCH(AC82,$S:$S,0)+14)+INDEX(AC:AC,MATCH(AC82,$S:$S,0)+15)+INDEX(AC:AC,MATCH(AC82,$S:$S,0)+16))</f>
        <v>0</v>
      </c>
      <c r="AD88" s="370"/>
      <c r="AE88" s="369">
        <f>ABS(INDEX(AE:AE,MATCH(AE82,$S:$S,0)+14)+INDEX(AE:AE,MATCH(AE82,$S:$S,0)+15)+INDEX(AE:AE,MATCH(AE82,$S:$S,0)+16))</f>
        <v>0</v>
      </c>
      <c r="AF88" s="370"/>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3" t="str">
        <f t="shared" si="77"/>
        <v>Gesamt</v>
      </c>
      <c r="C89" s="364" t="str">
        <f t="shared" si="77"/>
        <v/>
      </c>
      <c r="D89" s="347">
        <f>IF(U89=1505,"",U89)</f>
        <v>0</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12"/>
      <c r="O89" s="312"/>
      <c r="S89" s="37" t="s">
        <v>1788</v>
      </c>
      <c r="T89" s="38"/>
      <c r="U89" s="363">
        <f>SUM(U85:U88)</f>
        <v>0</v>
      </c>
      <c r="V89" s="364"/>
      <c r="W89" s="363">
        <f>SUM(W85:W88)</f>
        <v>0</v>
      </c>
      <c r="X89" s="364"/>
      <c r="Y89" s="363">
        <f>SUM(Y85:Y88)</f>
        <v>0</v>
      </c>
      <c r="Z89" s="364"/>
      <c r="AA89" s="363">
        <f>SUM(AA85:AA88)</f>
        <v>0</v>
      </c>
      <c r="AB89" s="364"/>
      <c r="AC89" s="363">
        <f>SUM(AC85:AC88)</f>
        <v>0</v>
      </c>
      <c r="AD89" s="364"/>
      <c r="AE89" s="363">
        <f>SUM(AE85:AE88)</f>
        <v>0</v>
      </c>
      <c r="AF89" s="364"/>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B89:C89"/>
    <mergeCell ref="D89:E89"/>
    <mergeCell ref="F89:G89"/>
    <mergeCell ref="H89:I89"/>
    <mergeCell ref="J89:K89"/>
    <mergeCell ref="L89:M89"/>
    <mergeCell ref="AE89:AF89"/>
    <mergeCell ref="N89:O89"/>
    <mergeCell ref="U89:V89"/>
    <mergeCell ref="W89:X89"/>
    <mergeCell ref="Y89:Z89"/>
    <mergeCell ref="AA89:AB89"/>
    <mergeCell ref="AC89:AD89"/>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67:A69"/>
    <mergeCell ref="E67:E69"/>
    <mergeCell ref="G67:G69"/>
    <mergeCell ref="I67:I69"/>
    <mergeCell ref="K67:K69"/>
    <mergeCell ref="M67:M69"/>
    <mergeCell ref="O67:O69"/>
    <mergeCell ref="R67:R69"/>
    <mergeCell ref="U65:V65"/>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B59:C59"/>
    <mergeCell ref="D59:E59"/>
    <mergeCell ref="F59:G59"/>
    <mergeCell ref="H59:I59"/>
    <mergeCell ref="J59:K59"/>
    <mergeCell ref="L59:M59"/>
    <mergeCell ref="N59:O59"/>
    <mergeCell ref="U59:V59"/>
    <mergeCell ref="W59:X59"/>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37:A39"/>
    <mergeCell ref="E37:E39"/>
    <mergeCell ref="G37:G39"/>
    <mergeCell ref="I37:I39"/>
    <mergeCell ref="K37:K39"/>
    <mergeCell ref="M37:M39"/>
    <mergeCell ref="O37:O39"/>
    <mergeCell ref="R37:R39"/>
    <mergeCell ref="U35:V35"/>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B29:C29"/>
    <mergeCell ref="D29:E29"/>
    <mergeCell ref="F29:G29"/>
    <mergeCell ref="H29:I29"/>
    <mergeCell ref="J29:K29"/>
    <mergeCell ref="L29:M29"/>
    <mergeCell ref="N29:O29"/>
    <mergeCell ref="U29:V29"/>
    <mergeCell ref="W29:X29"/>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s>
  <dataValidations count="1">
    <dataValidation type="whole" allowBlank="1" showErrorMessage="1" error="Es sind nur Zahlen zwischen -300 und 300 erlaubt!" sqref="U7:AF18 U37:AF48 U67:AF78" xr:uid="{00000000-0002-0000-27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F19"/>
  <sheetViews>
    <sheetView topLeftCell="H1"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2" t="str">
        <f>Schlüssel!$C$1</f>
        <v>Landesliga Nord Frauen</v>
      </c>
      <c r="B1" s="382"/>
      <c r="C1" s="382" t="s">
        <v>1782</v>
      </c>
      <c r="D1" s="382"/>
      <c r="E1" s="382"/>
      <c r="F1" s="382"/>
      <c r="G1" s="382"/>
      <c r="H1" s="382"/>
      <c r="I1" s="382"/>
      <c r="J1" s="382"/>
      <c r="K1" s="382"/>
      <c r="L1" s="382"/>
      <c r="M1" s="382"/>
      <c r="N1" s="382"/>
      <c r="O1" s="382"/>
      <c r="P1" s="382" t="str">
        <f>+Erfassung5!AD1</f>
        <v>13.04.</v>
      </c>
      <c r="Q1" s="382"/>
      <c r="R1" s="51"/>
      <c r="S1" s="51"/>
      <c r="AA1" s="223" t="s">
        <v>2086</v>
      </c>
    </row>
    <row r="2" spans="1:31" ht="28.5" customHeight="1" x14ac:dyDescent="0.25">
      <c r="A2" s="383" t="str">
        <f>"Saison "&amp;Spielorte!C18&amp;"     -     Spieltag "&amp;Erfassung6!AD2&amp;"     -     "&amp;TEXT(Erfassung6!AD1,"T. MMMM JJJJ")</f>
        <v>Saison 2024/2025     -     Spieltag 5     -     18.05.</v>
      </c>
      <c r="B2" s="383"/>
      <c r="C2" s="383"/>
      <c r="D2" s="383"/>
      <c r="E2" s="383"/>
      <c r="F2" s="383"/>
      <c r="G2" s="383"/>
      <c r="H2" s="383"/>
      <c r="I2" s="383"/>
      <c r="J2" s="383"/>
      <c r="K2" s="383"/>
      <c r="L2" s="383"/>
      <c r="M2" s="383"/>
      <c r="N2" s="383"/>
      <c r="O2" s="383"/>
      <c r="P2" s="383"/>
      <c r="Q2" s="383"/>
      <c r="R2" s="51"/>
      <c r="S2" s="51"/>
    </row>
    <row r="3" spans="1:31" ht="28.5" customHeight="1" x14ac:dyDescent="0.25">
      <c r="A3" s="383" t="str">
        <f>+Erfassung6!V2</f>
        <v>Nürnberg West Bowling</v>
      </c>
      <c r="B3" s="383"/>
      <c r="C3" s="383"/>
      <c r="D3" s="383"/>
      <c r="E3" s="383"/>
      <c r="F3" s="383"/>
      <c r="G3" s="383"/>
      <c r="H3" s="383"/>
      <c r="I3" s="383"/>
      <c r="J3" s="383"/>
      <c r="K3" s="383"/>
      <c r="L3" s="383"/>
      <c r="M3" s="383"/>
      <c r="N3" s="383"/>
      <c r="O3" s="383"/>
      <c r="P3" s="383"/>
      <c r="Q3" s="383"/>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4" t="s">
        <v>1800</v>
      </c>
      <c r="B5" s="393" t="s">
        <v>1801</v>
      </c>
      <c r="C5" s="389" t="s">
        <v>1789</v>
      </c>
      <c r="D5" s="390"/>
      <c r="E5" s="389" t="s">
        <v>1790</v>
      </c>
      <c r="F5" s="390"/>
      <c r="G5" s="389" t="s">
        <v>1791</v>
      </c>
      <c r="H5" s="390"/>
      <c r="I5" s="389" t="s">
        <v>1792</v>
      </c>
      <c r="J5" s="390"/>
      <c r="K5" s="389" t="s">
        <v>1793</v>
      </c>
      <c r="L5" s="390"/>
      <c r="M5" s="395" t="s">
        <v>2088</v>
      </c>
      <c r="N5" s="390"/>
      <c r="O5" s="389" t="s">
        <v>1788</v>
      </c>
      <c r="P5" s="390"/>
      <c r="Q5" s="391" t="s">
        <v>1802</v>
      </c>
      <c r="R5" s="51"/>
      <c r="S5" s="51"/>
    </row>
    <row r="6" spans="1:31" ht="13.8" thickBot="1" x14ac:dyDescent="0.3">
      <c r="A6" s="385"/>
      <c r="B6" s="394"/>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2"/>
      <c r="R6" s="51"/>
      <c r="S6" s="51"/>
      <c r="AA6" s="223" t="s">
        <v>1796</v>
      </c>
      <c r="AB6" s="223" t="s">
        <v>2073</v>
      </c>
      <c r="AC6" s="223" t="s">
        <v>2085</v>
      </c>
      <c r="AD6" s="223" t="s">
        <v>1818</v>
      </c>
      <c r="AE6" s="223" t="s">
        <v>1815</v>
      </c>
    </row>
    <row r="7" spans="1:31" ht="42" customHeight="1" thickBot="1" x14ac:dyDescent="0.3">
      <c r="A7" s="217">
        <v>1</v>
      </c>
      <c r="B7" s="121" t="str">
        <f>INDEX(Erfassung6!$S:$S,MATCH($A7,Erfassung6!$BO:$BO,0)-17)</f>
        <v>Kleeblatt Fürth</v>
      </c>
      <c r="C7" s="99">
        <f>INDEX(Erfassung6!U:U,MATCH($A7,Erfassung6!$BO:$BO,0)-1)</f>
        <v>0</v>
      </c>
      <c r="D7" s="100">
        <f>INDEX(Erfassung6!V:V,MATCH($A7,Erfassung6!$BO:$BO,0))</f>
        <v>0</v>
      </c>
      <c r="E7" s="99">
        <f>INDEX(Erfassung6!W:W,MATCH($A7,Erfassung6!$BO:$BO,0)-1)</f>
        <v>0</v>
      </c>
      <c r="F7" s="100">
        <f>INDEX(Erfassung6!X:X,MATCH($A7,Erfassung6!$BO:$BO,0))</f>
        <v>0</v>
      </c>
      <c r="G7" s="99">
        <f>INDEX(Erfassung6!Y:Y,MATCH($A7,Erfassung6!$BO:$BO,0)-1)</f>
        <v>0</v>
      </c>
      <c r="H7" s="100">
        <f>INDEX(Erfassung6!Z:Z,MATCH($A7,Erfassung6!$BO:$BO,0))</f>
        <v>0</v>
      </c>
      <c r="I7" s="99">
        <f>INDEX(Erfassung6!AA:AA,MATCH($A7,Erfassung6!$BO:$BO,0)-1)</f>
        <v>0</v>
      </c>
      <c r="J7" s="100">
        <f>INDEX(Erfassung6!AB:AB,MATCH($A7,Erfassung6!$BO:$BO,0))</f>
        <v>0</v>
      </c>
      <c r="K7" s="99">
        <f>INDEX(Erfassung6!AC:AC,MATCH($A7,Erfassung6!$BO:$BO,0)-1)</f>
        <v>0</v>
      </c>
      <c r="L7" s="100">
        <f>INDEX(Erfassung6!AD:AD,MATCH($A7,Erfassung6!$BO:$BO,0))</f>
        <v>0</v>
      </c>
      <c r="M7" s="99">
        <f>INDEX(Erfassung6!AE:AE,MATCH($A7,Erfassung6!$BO:$BO,0)-1)</f>
        <v>0</v>
      </c>
      <c r="N7" s="100">
        <f>INDEX(Erfassung6!AF:AF,MATCH($A7,Erfassung6!$BO:$BO,0))</f>
        <v>0</v>
      </c>
      <c r="O7" s="101">
        <f t="shared" ref="O7:P9" si="0">SUM(C7+E7+G7+I7+K7+M7)</f>
        <v>0</v>
      </c>
      <c r="P7" s="102">
        <f t="shared" si="0"/>
        <v>0</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73</v>
      </c>
    </row>
    <row r="8" spans="1:31" ht="42" customHeight="1" thickBot="1" x14ac:dyDescent="0.3">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3">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6" x14ac:dyDescent="0.3">
      <c r="B12" s="388" t="s">
        <v>1812</v>
      </c>
      <c r="C12" s="388"/>
      <c r="D12" s="388"/>
      <c r="E12" s="388"/>
      <c r="F12" s="388"/>
      <c r="G12" s="388"/>
      <c r="H12" s="388"/>
      <c r="I12" s="388"/>
      <c r="J12" s="388"/>
      <c r="K12" s="388"/>
      <c r="L12" s="388"/>
      <c r="M12" s="388"/>
      <c r="N12" s="388"/>
      <c r="O12" s="388"/>
      <c r="P12" s="388"/>
      <c r="Q12" s="388"/>
      <c r="R12" s="106"/>
      <c r="S12" s="106"/>
    </row>
    <row r="13" spans="1:31" x14ac:dyDescent="0.25">
      <c r="C13" s="386"/>
      <c r="D13" s="386"/>
      <c r="E13" s="386"/>
      <c r="F13" s="386"/>
      <c r="G13" s="386"/>
      <c r="H13" s="386"/>
    </row>
    <row r="14" spans="1:31" x14ac:dyDescent="0.25">
      <c r="B14" s="106" t="s">
        <v>1813</v>
      </c>
      <c r="C14" t="str">
        <f>IFERROR(INDEX(Erfassung6!S:S,MATCH(1,Erfassung6!BS:BS,0)),"")</f>
        <v/>
      </c>
      <c r="H14" t="str">
        <f>INDEX(Erfassung6!BR:BR,MATCH(C14,Erfassung6!S:S,0))</f>
        <v>Kleeblatt Fürth</v>
      </c>
      <c r="N14" s="104">
        <f>IFERROR(ROUND(INDEX(Erfassung6!BQ:BQ,MATCH(1,Erfassung6!BS:BS,0)),0),"")</f>
        <v>0</v>
      </c>
    </row>
    <row r="15" spans="1:31" x14ac:dyDescent="0.25">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5">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5">
      <c r="B17" s="106" t="s">
        <v>1814</v>
      </c>
      <c r="C17" t="str">
        <f>IFERROR(INDEX(Erfassung6!S:S,MATCH(1,Erfassung6!BW:BW,0)),"")</f>
        <v/>
      </c>
      <c r="H17" t="str">
        <f>INDEX(Erfassung6!BR:BR,MATCH(C17,Erfassung6!S:S,0))</f>
        <v>Kleeblatt Fürth</v>
      </c>
      <c r="N17" s="387" t="str">
        <f>IFERROR(ROUND(INDEX(Erfassung6!BT:BT,MATCH(1,Erfassung6!BW:BW,0)),0),"")&amp;"  /  "&amp;ROUND(IFERROR(ROUND(INDEX(Erfassung6!BT:BT,MATCH(1,Erfassung6!BW:BW,0)),0),"")/6,2)</f>
        <v>0  /  0</v>
      </c>
      <c r="O17" s="387"/>
      <c r="R17" s="92"/>
    </row>
    <row r="18" spans="2:18" x14ac:dyDescent="0.25">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5">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pageSetUpPr fitToPage="1"/>
  </sheetPr>
  <dimension ref="A1:R9"/>
  <sheetViews>
    <sheetView workbookViewId="0">
      <selection activeCell="A9" sqref="A9:IV9"/>
    </sheetView>
  </sheetViews>
  <sheetFormatPr baseColWidth="10" defaultRowHeight="13.2" x14ac:dyDescent="0.25"/>
  <cols>
    <col min="1" max="1" width="4.109375" customWidth="1"/>
    <col min="2" max="2" width="18.44140625" customWidth="1"/>
    <col min="3" max="14" width="8.5546875" customWidth="1"/>
    <col min="15" max="15" width="13.44140625" customWidth="1"/>
    <col min="16" max="16" width="9.44140625" customWidth="1"/>
    <col min="18" max="18" width="6.44140625" customWidth="1"/>
  </cols>
  <sheetData>
    <row r="1" spans="1:18" ht="28.5" customHeight="1" x14ac:dyDescent="0.25">
      <c r="A1" s="399" t="str">
        <f>Schlüssel!$C$1</f>
        <v>Landesliga Nord Frauen</v>
      </c>
      <c r="B1" s="399"/>
      <c r="C1" s="399"/>
      <c r="D1" s="399"/>
      <c r="E1" s="399"/>
      <c r="F1" s="399"/>
      <c r="G1" s="399"/>
      <c r="H1" s="399"/>
      <c r="I1" s="399"/>
      <c r="J1" s="399"/>
      <c r="K1" s="399"/>
      <c r="L1" s="399"/>
      <c r="M1" s="399"/>
      <c r="N1" s="399"/>
      <c r="O1" s="399"/>
      <c r="P1" s="399"/>
      <c r="Q1" s="399"/>
    </row>
    <row r="2" spans="1:18" ht="28.5" customHeight="1" x14ac:dyDescent="0.25">
      <c r="A2" s="383" t="str">
        <f>"Saison "&amp;Spielorte!C18&amp;"     -     Spieltag "&amp;Erfassung6!AD2&amp;"     -     "&amp;TEXT(Erfassung6!AD1,"T. MMMM JJJJ")</f>
        <v>Saison 2024/2025     -     Spieltag 5     -     18.05.</v>
      </c>
      <c r="B2" s="383"/>
      <c r="C2" s="383"/>
      <c r="D2" s="383"/>
      <c r="E2" s="383"/>
      <c r="F2" s="383"/>
      <c r="G2" s="383"/>
      <c r="H2" s="383"/>
      <c r="I2" s="383"/>
      <c r="J2" s="383"/>
      <c r="K2" s="383"/>
      <c r="L2" s="383"/>
      <c r="M2" s="383"/>
      <c r="N2" s="383"/>
      <c r="O2" s="383"/>
      <c r="P2" s="383"/>
      <c r="Q2" s="383"/>
    </row>
    <row r="3" spans="1:18" ht="28.5" customHeight="1" x14ac:dyDescent="0.25">
      <c r="A3" s="382" t="s">
        <v>1859</v>
      </c>
      <c r="B3" s="382"/>
      <c r="C3" s="382"/>
      <c r="D3" s="382"/>
      <c r="E3" s="382"/>
      <c r="F3" s="382"/>
      <c r="G3" s="382"/>
      <c r="H3" s="382"/>
      <c r="I3" s="382"/>
      <c r="J3" s="382"/>
      <c r="K3" s="382"/>
      <c r="L3" s="382"/>
      <c r="M3" s="382"/>
      <c r="N3" s="382"/>
      <c r="O3" s="382"/>
      <c r="P3" s="382"/>
      <c r="Q3" s="382"/>
    </row>
    <row r="4" spans="1:18" ht="28.5" customHeight="1" thickBot="1" x14ac:dyDescent="0.3">
      <c r="A4" s="218"/>
      <c r="B4" s="218"/>
      <c r="C4" s="87"/>
      <c r="D4" s="219"/>
      <c r="E4" s="219"/>
      <c r="F4" s="219"/>
      <c r="G4" s="219"/>
      <c r="H4" s="219"/>
      <c r="I4" s="219"/>
      <c r="J4" s="219"/>
      <c r="K4" s="219"/>
      <c r="L4" s="219"/>
      <c r="M4" s="219"/>
      <c r="N4" s="219"/>
      <c r="O4" s="219"/>
      <c r="P4" s="88"/>
      <c r="Q4" s="162"/>
    </row>
    <row r="5" spans="1:18" x14ac:dyDescent="0.25">
      <c r="A5" s="384" t="s">
        <v>1800</v>
      </c>
      <c r="B5" s="393" t="s">
        <v>1801</v>
      </c>
      <c r="C5" s="389" t="s">
        <v>1804</v>
      </c>
      <c r="D5" s="390"/>
      <c r="E5" s="389" t="s">
        <v>1805</v>
      </c>
      <c r="F5" s="390"/>
      <c r="G5" s="389" t="s">
        <v>1806</v>
      </c>
      <c r="H5" s="390"/>
      <c r="I5" s="395" t="s">
        <v>1807</v>
      </c>
      <c r="J5" s="390"/>
      <c r="K5" s="395" t="s">
        <v>1808</v>
      </c>
      <c r="L5" s="390"/>
      <c r="M5" s="395" t="s">
        <v>2251</v>
      </c>
      <c r="N5" s="390"/>
      <c r="O5" s="389" t="s">
        <v>1788</v>
      </c>
      <c r="P5" s="390"/>
      <c r="Q5" s="391" t="s">
        <v>1802</v>
      </c>
    </row>
    <row r="6" spans="1:18" ht="13.8" thickBot="1" x14ac:dyDescent="0.3">
      <c r="A6" s="385"/>
      <c r="B6" s="394"/>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92"/>
    </row>
    <row r="7" spans="1:18" ht="42" customHeight="1" thickBot="1" x14ac:dyDescent="0.3">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3">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3">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5">
      <c r="L3" s="108">
        <f>INDEX(Starter!A:A,ROW()-1)</f>
        <v>38735</v>
      </c>
      <c r="M3" s="108">
        <f>SUMIF(Erfassung6!BD:BD,L3,Erfassung6!BE:BE)</f>
        <v>0</v>
      </c>
      <c r="N3" s="108">
        <f>SUMIF(Erfassung6!BD:BD,L3,Erfassung6!BG:BG)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SUMIF(Erfassung6!BD:BD,L19,Erfassung6!BE:BE)</f>
        <v>0</v>
      </c>
      <c r="N19" s="108">
        <f>SUMIF(Erfassung6!BD:BD,L19,Erfassung6!BG:BG)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7" width="11.44140625" hidden="1" customWidth="1"/>
    <col min="18"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6</v>
      </c>
      <c r="D2" s="28" t="s">
        <v>1860</v>
      </c>
      <c r="E2" s="170"/>
      <c r="F2" s="171"/>
      <c r="L2" s="108">
        <f>INDEX(Starter!A:A,ROW()-1)</f>
        <v>7860</v>
      </c>
      <c r="M2">
        <f>INDEX(SchnittGes5!M:M,MATCH(L2,SchnittGes5!L:L,0))+INDEX(Schnitt6!M:M,MATCH(L2,Schnitt6!L:L,0))</f>
        <v>981</v>
      </c>
      <c r="N2">
        <f>INDEX(SchnittGes5!N:N,MATCH(L2,SchnittGes5!L:L,0))+INDEX(Schnitt6!N:N,MATCH(L2,Schnitt6!L:L,0))</f>
        <v>6</v>
      </c>
      <c r="O2">
        <f t="shared" ref="O2:O65" si="0">IF(N2=0,0,M2/N2-ROW()/1000000000)</f>
        <v>163.49999999799999</v>
      </c>
      <c r="P2">
        <f t="shared" ref="P2:P65" si="1">RANK(O2,O:O)</f>
        <v>5</v>
      </c>
    </row>
    <row r="3" spans="1:16" x14ac:dyDescent="0.25">
      <c r="L3" s="108">
        <f>INDEX(Starter!A:A,ROW()-1)</f>
        <v>38735</v>
      </c>
      <c r="M3">
        <f>INDEX(SchnittGes5!M:M,MATCH(L3,SchnittGes5!L:L,0))+INDEX(Schnitt6!M:M,MATCH(L3,Schnitt6!L:L,0))</f>
        <v>0</v>
      </c>
      <c r="N3">
        <f>INDEX(SchnittGes5!N:N,MATCH(L3,SchnittGes5!L:L,0))+INDEX(Schnitt6!N:N,MATCH(L3,Schnitt6!L:L,0))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INDEX(SchnittGes5!M:M,MATCH(L4,SchnittGes5!L:L,0))+INDEX(Schnitt6!M:M,MATCH(L4,Schnitt6!L:L,0))</f>
        <v>829</v>
      </c>
      <c r="N4">
        <f>INDEX(SchnittGes5!N:N,MATCH(L4,SchnittGes5!L:L,0))+INDEX(Schnitt6!N:N,MATCH(L4,Schnitt6!L:L,0))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INDEX(SchnittGes5!M:M,MATCH(L5,SchnittGes5!L:L,0))+INDEX(Schnitt6!M:M,MATCH(L5,Schnitt6!L:L,0))</f>
        <v>968</v>
      </c>
      <c r="N5">
        <f>INDEX(SchnittGes5!N:N,MATCH(L5,SchnittGes5!L:L,0))+INDEX(Schnitt6!N:N,MATCH(L5,Schnitt6!L:L,0))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INDEX(SchnittGes5!M:M,MATCH(L6,SchnittGes5!L:L,0))+INDEX(Schnitt6!M:M,MATCH(L6,Schnitt6!L:L,0))</f>
        <v>1121</v>
      </c>
      <c r="N6">
        <f>INDEX(SchnittGes5!N:N,MATCH(L6,SchnittGes5!L:L,0))+INDEX(Schnitt6!N:N,MATCH(L6,Schnitt6!L:L,0))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INDEX(SchnittGes5!M:M,MATCH(L7,SchnittGes5!L:L,0))+INDEX(Schnitt6!M:M,MATCH(L7,Schnitt6!L:L,0))</f>
        <v>2253</v>
      </c>
      <c r="N7">
        <f>INDEX(SchnittGes5!N:N,MATCH(L7,SchnittGes5!L:L,0))+INDEX(Schnitt6!N:N,MATCH(L7,Schnitt6!L:L,0))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INDEX(SchnittGes5!M:M,MATCH(L8,SchnittGes5!L:L,0))+INDEX(Schnitt6!M:M,MATCH(L8,Schnitt6!L:L,0))</f>
        <v>2612</v>
      </c>
      <c r="N8">
        <f>INDEX(SchnittGes5!N:N,MATCH(L8,SchnittGes5!L:L,0))+INDEX(Schnitt6!N:N,MATCH(L8,Schnitt6!L:L,0))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INDEX(SchnittGes5!M:M,MATCH(L9,SchnittGes5!L:L,0))+INDEX(Schnitt6!M:M,MATCH(L9,Schnitt6!L:L,0))</f>
        <v>2964</v>
      </c>
      <c r="N9">
        <f>INDEX(SchnittGes5!N:N,MATCH(L9,SchnittGes5!L:L,0))+INDEX(Schnitt6!N:N,MATCH(L9,Schnitt6!L:L,0))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INDEX(SchnittGes5!M:M,MATCH(L10,SchnittGes5!L:L,0))+INDEX(Schnitt6!M:M,MATCH(L10,Schnitt6!L:L,0))</f>
        <v>483</v>
      </c>
      <c r="N10">
        <f>INDEX(SchnittGes5!N:N,MATCH(L10,SchnittGes5!L:L,0))+INDEX(Schnitt6!N:N,MATCH(L10,Schnitt6!L:L,0))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INDEX(SchnittGes5!M:M,MATCH(L11,SchnittGes5!L:L,0))+INDEX(Schnitt6!M:M,MATCH(L11,Schnitt6!L:L,0))</f>
        <v>2695</v>
      </c>
      <c r="N11">
        <f>INDEX(SchnittGes5!N:N,MATCH(L11,SchnittGes5!L:L,0))+INDEX(Schnitt6!N:N,MATCH(L11,Schnitt6!L:L,0))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INDEX(SchnittGes5!M:M,MATCH(L12,SchnittGes5!L:L,0))+INDEX(Schnitt6!M:M,MATCH(L12,Schnitt6!L:L,0))</f>
        <v>0</v>
      </c>
      <c r="N12">
        <f>INDEX(SchnittGes5!N:N,MATCH(L12,SchnittGes5!L:L,0))+INDEX(Schnitt6!N:N,MATCH(L12,Schnitt6!L:L,0))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INDEX(SchnittGes5!M:M,MATCH(L13,SchnittGes5!L:L,0))+INDEX(Schnitt6!M:M,MATCH(L13,Schnitt6!L:L,0))</f>
        <v>577</v>
      </c>
      <c r="N13">
        <f>INDEX(SchnittGes5!N:N,MATCH(L13,SchnittGes5!L:L,0))+INDEX(Schnitt6!N:N,MATCH(L13,Schnitt6!L:L,0))</f>
        <v>3</v>
      </c>
      <c r="O13">
        <f t="shared" si="0"/>
        <v>192.33333332033334</v>
      </c>
      <c r="P13">
        <f t="shared" si="1"/>
        <v>1</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INDEX(SchnittGes5!M:M,MATCH(L14,SchnittGes5!L:L,0))+INDEX(Schnitt6!M:M,MATCH(L14,Schnitt6!L:L,0))</f>
        <v>2071</v>
      </c>
      <c r="N14">
        <f>INDEX(SchnittGes5!N:N,MATCH(L14,SchnittGes5!L:L,0))+INDEX(Schnitt6!N:N,MATCH(L14,Schnitt6!L:L,0))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INDEX(SchnittGes5!M:M,MATCH(L16,SchnittGes5!L:L,0))+INDEX(Schnitt6!M:M,MATCH(L16,Schnitt6!L:L,0))</f>
        <v>1905</v>
      </c>
      <c r="N16">
        <f>INDEX(SchnittGes5!N:N,MATCH(L16,SchnittGes5!L:L,0))+INDEX(Schnitt6!N:N,MATCH(L16,Schnitt6!L:L,0))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13</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INDEX(SchnittGes5!M:M,MATCH(L18,SchnittGes5!L:L,0))+INDEX(Schnitt6!M:M,MATCH(L18,Schnitt6!L:L,0))</f>
        <v>0</v>
      </c>
      <c r="N18">
        <f>INDEX(SchnittGes5!N:N,MATCH(L18,SchnittGes5!L:L,0))+INDEX(Schnitt6!N:N,MATCH(L18,Schnitt6!L:L,0))</f>
        <v>0</v>
      </c>
      <c r="O18">
        <f t="shared" si="0"/>
        <v>0</v>
      </c>
      <c r="P18">
        <f t="shared" si="1"/>
        <v>101</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INDEX(SchnittGes5!M:M,MATCH(L19,SchnittGes5!L:L,0))+INDEX(Schnitt6!M:M,MATCH(L19,Schnitt6!L:L,0))</f>
        <v>222</v>
      </c>
      <c r="N19">
        <f>INDEX(SchnittGes5!N:N,MATCH(L19,SchnittGes5!L:L,0))+INDEX(Schnitt6!N:N,MATCH(L19,Schnitt6!L:L,0))</f>
        <v>2</v>
      </c>
      <c r="O19">
        <f t="shared" si="0"/>
        <v>110.999999981</v>
      </c>
      <c r="P19">
        <f t="shared" si="1"/>
        <v>15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7"/>
  <sheetViews>
    <sheetView tabSelected="1" zoomScale="115" workbookViewId="0">
      <selection activeCell="A18" sqref="A18"/>
    </sheetView>
  </sheetViews>
  <sheetFormatPr baseColWidth="10" defaultColWidth="11.44140625" defaultRowHeight="11.4" x14ac:dyDescent="0.2"/>
  <cols>
    <col min="1" max="1" width="11.44140625" style="81"/>
    <col min="2" max="2" width="23.5546875" style="82" customWidth="1"/>
    <col min="3" max="3" width="23" style="82" customWidth="1"/>
    <col min="4" max="16384" width="11.441406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B18" s="82" t="e">
        <f>VLOOKUP(A18,member!$A$5:$K$1300,3,FALSE)&amp;", "&amp;VLOOKUP(A18,member!$A$5:$K$1300,4,FALSE)</f>
        <v>#N/A</v>
      </c>
      <c r="C18" s="82" t="e">
        <f>VLOOKUP(A18,member!$A$5:$K$1300,9,FALSE)</f>
        <v>#N/A</v>
      </c>
      <c r="D18" s="82" t="e">
        <f>VLOOKUP(A18,member!$A$5:$K$1300,11,FALSE)</f>
        <v>#N/A</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1286"/>
  <sheetViews>
    <sheetView workbookViewId="0">
      <selection activeCell="N19" sqref="N19"/>
    </sheetView>
  </sheetViews>
  <sheetFormatPr baseColWidth="10" defaultColWidth="11.44140625" defaultRowHeight="13.8" x14ac:dyDescent="0.3"/>
  <cols>
    <col min="1" max="1" width="7.5546875" style="245" customWidth="1"/>
    <col min="2" max="2" width="8.109375" style="240" customWidth="1"/>
    <col min="3" max="3" width="17.33203125" style="241" bestFit="1" customWidth="1"/>
    <col min="4" max="4" width="14.88671875" style="242" bestFit="1" customWidth="1"/>
    <col min="5" max="5" width="4.44140625" style="242" bestFit="1" customWidth="1"/>
    <col min="6" max="6" width="4.44140625" style="244" customWidth="1"/>
    <col min="7" max="7" width="13.88671875" style="275" customWidth="1"/>
    <col min="8" max="8" width="4.109375" style="242" customWidth="1"/>
    <col min="9" max="9" width="24.109375" style="242" bestFit="1" customWidth="1"/>
    <col min="10" max="10" width="27.6640625" style="240" customWidth="1"/>
    <col min="11" max="11" width="8.88671875" style="243" customWidth="1"/>
    <col min="12" max="12" width="6.109375" style="283" customWidth="1"/>
    <col min="13" max="256" width="11.44140625" style="283"/>
    <col min="257" max="257" width="7.5546875" style="283" customWidth="1"/>
    <col min="258" max="258" width="8.109375" style="283" customWidth="1"/>
    <col min="259" max="259" width="17.33203125" style="283" bestFit="1" customWidth="1"/>
    <col min="260" max="260" width="14.88671875" style="283" bestFit="1" customWidth="1"/>
    <col min="261" max="261" width="4.44140625" style="283" bestFit="1" customWidth="1"/>
    <col min="262" max="262" width="4.44140625" style="283" customWidth="1"/>
    <col min="263" max="263" width="13.88671875" style="283" customWidth="1"/>
    <col min="264" max="264" width="4.109375" style="283" customWidth="1"/>
    <col min="265" max="265" width="24.109375" style="283" bestFit="1" customWidth="1"/>
    <col min="266" max="266" width="27.6640625" style="283" customWidth="1"/>
    <col min="267" max="267" width="8.88671875" style="283" customWidth="1"/>
    <col min="268" max="268" width="6.109375" style="283" customWidth="1"/>
    <col min="269" max="512" width="11.44140625" style="283"/>
    <col min="513" max="513" width="7.5546875" style="283" customWidth="1"/>
    <col min="514" max="514" width="8.109375" style="283" customWidth="1"/>
    <col min="515" max="515" width="17.33203125" style="283" bestFit="1" customWidth="1"/>
    <col min="516" max="516" width="14.88671875" style="283" bestFit="1" customWidth="1"/>
    <col min="517" max="517" width="4.44140625" style="283" bestFit="1" customWidth="1"/>
    <col min="518" max="518" width="4.44140625" style="283" customWidth="1"/>
    <col min="519" max="519" width="13.88671875" style="283" customWidth="1"/>
    <col min="520" max="520" width="4.109375" style="283" customWidth="1"/>
    <col min="521" max="521" width="24.109375" style="283" bestFit="1" customWidth="1"/>
    <col min="522" max="522" width="27.6640625" style="283" customWidth="1"/>
    <col min="523" max="523" width="8.88671875" style="283" customWidth="1"/>
    <col min="524" max="524" width="6.109375" style="283" customWidth="1"/>
    <col min="525" max="768" width="11.44140625" style="283"/>
    <col min="769" max="769" width="7.5546875" style="283" customWidth="1"/>
    <col min="770" max="770" width="8.109375" style="283" customWidth="1"/>
    <col min="771" max="771" width="17.33203125" style="283" bestFit="1" customWidth="1"/>
    <col min="772" max="772" width="14.88671875" style="283" bestFit="1" customWidth="1"/>
    <col min="773" max="773" width="4.44140625" style="283" bestFit="1" customWidth="1"/>
    <col min="774" max="774" width="4.44140625" style="283" customWidth="1"/>
    <col min="775" max="775" width="13.88671875" style="283" customWidth="1"/>
    <col min="776" max="776" width="4.109375" style="283" customWidth="1"/>
    <col min="777" max="777" width="24.109375" style="283" bestFit="1" customWidth="1"/>
    <col min="778" max="778" width="27.6640625" style="283" customWidth="1"/>
    <col min="779" max="779" width="8.88671875" style="283" customWidth="1"/>
    <col min="780" max="780" width="6.109375" style="283" customWidth="1"/>
    <col min="781" max="1024" width="11.44140625" style="283"/>
    <col min="1025" max="1025" width="7.5546875" style="283" customWidth="1"/>
    <col min="1026" max="1026" width="8.109375" style="283" customWidth="1"/>
    <col min="1027" max="1027" width="17.33203125" style="283" bestFit="1" customWidth="1"/>
    <col min="1028" max="1028" width="14.88671875" style="283" bestFit="1" customWidth="1"/>
    <col min="1029" max="1029" width="4.44140625" style="283" bestFit="1" customWidth="1"/>
    <col min="1030" max="1030" width="4.44140625" style="283" customWidth="1"/>
    <col min="1031" max="1031" width="13.88671875" style="283" customWidth="1"/>
    <col min="1032" max="1032" width="4.109375" style="283" customWidth="1"/>
    <col min="1033" max="1033" width="24.109375" style="283" bestFit="1" customWidth="1"/>
    <col min="1034" max="1034" width="27.6640625" style="283" customWidth="1"/>
    <col min="1035" max="1035" width="8.88671875" style="283" customWidth="1"/>
    <col min="1036" max="1036" width="6.109375" style="283" customWidth="1"/>
    <col min="1037" max="1280" width="11.44140625" style="283"/>
    <col min="1281" max="1281" width="7.5546875" style="283" customWidth="1"/>
    <col min="1282" max="1282" width="8.109375" style="283" customWidth="1"/>
    <col min="1283" max="1283" width="17.33203125" style="283" bestFit="1" customWidth="1"/>
    <col min="1284" max="1284" width="14.88671875" style="283" bestFit="1" customWidth="1"/>
    <col min="1285" max="1285" width="4.44140625" style="283" bestFit="1" customWidth="1"/>
    <col min="1286" max="1286" width="4.44140625" style="283" customWidth="1"/>
    <col min="1287" max="1287" width="13.88671875" style="283" customWidth="1"/>
    <col min="1288" max="1288" width="4.109375" style="283" customWidth="1"/>
    <col min="1289" max="1289" width="24.109375" style="283" bestFit="1" customWidth="1"/>
    <col min="1290" max="1290" width="27.6640625" style="283" customWidth="1"/>
    <col min="1291" max="1291" width="8.88671875" style="283" customWidth="1"/>
    <col min="1292" max="1292" width="6.109375" style="283" customWidth="1"/>
    <col min="1293" max="1536" width="11.44140625" style="283"/>
    <col min="1537" max="1537" width="7.5546875" style="283" customWidth="1"/>
    <col min="1538" max="1538" width="8.109375" style="283" customWidth="1"/>
    <col min="1539" max="1539" width="17.33203125" style="283" bestFit="1" customWidth="1"/>
    <col min="1540" max="1540" width="14.88671875" style="283" bestFit="1" customWidth="1"/>
    <col min="1541" max="1541" width="4.44140625" style="283" bestFit="1" customWidth="1"/>
    <col min="1542" max="1542" width="4.44140625" style="283" customWidth="1"/>
    <col min="1543" max="1543" width="13.88671875" style="283" customWidth="1"/>
    <col min="1544" max="1544" width="4.109375" style="283" customWidth="1"/>
    <col min="1545" max="1545" width="24.109375" style="283" bestFit="1" customWidth="1"/>
    <col min="1546" max="1546" width="27.6640625" style="283" customWidth="1"/>
    <col min="1547" max="1547" width="8.88671875" style="283" customWidth="1"/>
    <col min="1548" max="1548" width="6.109375" style="283" customWidth="1"/>
    <col min="1549" max="1792" width="11.44140625" style="283"/>
    <col min="1793" max="1793" width="7.5546875" style="283" customWidth="1"/>
    <col min="1794" max="1794" width="8.109375" style="283" customWidth="1"/>
    <col min="1795" max="1795" width="17.33203125" style="283" bestFit="1" customWidth="1"/>
    <col min="1796" max="1796" width="14.88671875" style="283" bestFit="1" customWidth="1"/>
    <col min="1797" max="1797" width="4.44140625" style="283" bestFit="1" customWidth="1"/>
    <col min="1798" max="1798" width="4.44140625" style="283" customWidth="1"/>
    <col min="1799" max="1799" width="13.88671875" style="283" customWidth="1"/>
    <col min="1800" max="1800" width="4.109375" style="283" customWidth="1"/>
    <col min="1801" max="1801" width="24.109375" style="283" bestFit="1" customWidth="1"/>
    <col min="1802" max="1802" width="27.6640625" style="283" customWidth="1"/>
    <col min="1803" max="1803" width="8.88671875" style="283" customWidth="1"/>
    <col min="1804" max="1804" width="6.109375" style="283" customWidth="1"/>
    <col min="1805" max="2048" width="11.44140625" style="283"/>
    <col min="2049" max="2049" width="7.5546875" style="283" customWidth="1"/>
    <col min="2050" max="2050" width="8.109375" style="283" customWidth="1"/>
    <col min="2051" max="2051" width="17.33203125" style="283" bestFit="1" customWidth="1"/>
    <col min="2052" max="2052" width="14.88671875" style="283" bestFit="1" customWidth="1"/>
    <col min="2053" max="2053" width="4.44140625" style="283" bestFit="1" customWidth="1"/>
    <col min="2054" max="2054" width="4.44140625" style="283" customWidth="1"/>
    <col min="2055" max="2055" width="13.88671875" style="283" customWidth="1"/>
    <col min="2056" max="2056" width="4.109375" style="283" customWidth="1"/>
    <col min="2057" max="2057" width="24.109375" style="283" bestFit="1" customWidth="1"/>
    <col min="2058" max="2058" width="27.6640625" style="283" customWidth="1"/>
    <col min="2059" max="2059" width="8.88671875" style="283" customWidth="1"/>
    <col min="2060" max="2060" width="6.109375" style="283" customWidth="1"/>
    <col min="2061" max="2304" width="11.44140625" style="283"/>
    <col min="2305" max="2305" width="7.5546875" style="283" customWidth="1"/>
    <col min="2306" max="2306" width="8.109375" style="283" customWidth="1"/>
    <col min="2307" max="2307" width="17.33203125" style="283" bestFit="1" customWidth="1"/>
    <col min="2308" max="2308" width="14.88671875" style="283" bestFit="1" customWidth="1"/>
    <col min="2309" max="2309" width="4.44140625" style="283" bestFit="1" customWidth="1"/>
    <col min="2310" max="2310" width="4.44140625" style="283" customWidth="1"/>
    <col min="2311" max="2311" width="13.88671875" style="283" customWidth="1"/>
    <col min="2312" max="2312" width="4.109375" style="283" customWidth="1"/>
    <col min="2313" max="2313" width="24.109375" style="283" bestFit="1" customWidth="1"/>
    <col min="2314" max="2314" width="27.6640625" style="283" customWidth="1"/>
    <col min="2315" max="2315" width="8.88671875" style="283" customWidth="1"/>
    <col min="2316" max="2316" width="6.109375" style="283" customWidth="1"/>
    <col min="2317" max="2560" width="11.44140625" style="283"/>
    <col min="2561" max="2561" width="7.5546875" style="283" customWidth="1"/>
    <col min="2562" max="2562" width="8.109375" style="283" customWidth="1"/>
    <col min="2563" max="2563" width="17.33203125" style="283" bestFit="1" customWidth="1"/>
    <col min="2564" max="2564" width="14.88671875" style="283" bestFit="1" customWidth="1"/>
    <col min="2565" max="2565" width="4.44140625" style="283" bestFit="1" customWidth="1"/>
    <col min="2566" max="2566" width="4.44140625" style="283" customWidth="1"/>
    <col min="2567" max="2567" width="13.88671875" style="283" customWidth="1"/>
    <col min="2568" max="2568" width="4.109375" style="283" customWidth="1"/>
    <col min="2569" max="2569" width="24.109375" style="283" bestFit="1" customWidth="1"/>
    <col min="2570" max="2570" width="27.6640625" style="283" customWidth="1"/>
    <col min="2571" max="2571" width="8.88671875" style="283" customWidth="1"/>
    <col min="2572" max="2572" width="6.109375" style="283" customWidth="1"/>
    <col min="2573" max="2816" width="11.44140625" style="283"/>
    <col min="2817" max="2817" width="7.5546875" style="283" customWidth="1"/>
    <col min="2818" max="2818" width="8.109375" style="283" customWidth="1"/>
    <col min="2819" max="2819" width="17.33203125" style="283" bestFit="1" customWidth="1"/>
    <col min="2820" max="2820" width="14.88671875" style="283" bestFit="1" customWidth="1"/>
    <col min="2821" max="2821" width="4.44140625" style="283" bestFit="1" customWidth="1"/>
    <col min="2822" max="2822" width="4.44140625" style="283" customWidth="1"/>
    <col min="2823" max="2823" width="13.88671875" style="283" customWidth="1"/>
    <col min="2824" max="2824" width="4.109375" style="283" customWidth="1"/>
    <col min="2825" max="2825" width="24.109375" style="283" bestFit="1" customWidth="1"/>
    <col min="2826" max="2826" width="27.6640625" style="283" customWidth="1"/>
    <col min="2827" max="2827" width="8.88671875" style="283" customWidth="1"/>
    <col min="2828" max="2828" width="6.109375" style="283" customWidth="1"/>
    <col min="2829" max="3072" width="11.44140625" style="283"/>
    <col min="3073" max="3073" width="7.5546875" style="283" customWidth="1"/>
    <col min="3074" max="3074" width="8.109375" style="283" customWidth="1"/>
    <col min="3075" max="3075" width="17.33203125" style="283" bestFit="1" customWidth="1"/>
    <col min="3076" max="3076" width="14.88671875" style="283" bestFit="1" customWidth="1"/>
    <col min="3077" max="3077" width="4.44140625" style="283" bestFit="1" customWidth="1"/>
    <col min="3078" max="3078" width="4.44140625" style="283" customWidth="1"/>
    <col min="3079" max="3079" width="13.88671875" style="283" customWidth="1"/>
    <col min="3080" max="3080" width="4.109375" style="283" customWidth="1"/>
    <col min="3081" max="3081" width="24.109375" style="283" bestFit="1" customWidth="1"/>
    <col min="3082" max="3082" width="27.6640625" style="283" customWidth="1"/>
    <col min="3083" max="3083" width="8.88671875" style="283" customWidth="1"/>
    <col min="3084" max="3084" width="6.109375" style="283" customWidth="1"/>
    <col min="3085" max="3328" width="11.44140625" style="283"/>
    <col min="3329" max="3329" width="7.5546875" style="283" customWidth="1"/>
    <col min="3330" max="3330" width="8.109375" style="283" customWidth="1"/>
    <col min="3331" max="3331" width="17.33203125" style="283" bestFit="1" customWidth="1"/>
    <col min="3332" max="3332" width="14.88671875" style="283" bestFit="1" customWidth="1"/>
    <col min="3333" max="3333" width="4.44140625" style="283" bestFit="1" customWidth="1"/>
    <col min="3334" max="3334" width="4.44140625" style="283" customWidth="1"/>
    <col min="3335" max="3335" width="13.88671875" style="283" customWidth="1"/>
    <col min="3336" max="3336" width="4.109375" style="283" customWidth="1"/>
    <col min="3337" max="3337" width="24.109375" style="283" bestFit="1" customWidth="1"/>
    <col min="3338" max="3338" width="27.6640625" style="283" customWidth="1"/>
    <col min="3339" max="3339" width="8.88671875" style="283" customWidth="1"/>
    <col min="3340" max="3340" width="6.109375" style="283" customWidth="1"/>
    <col min="3341" max="3584" width="11.44140625" style="283"/>
    <col min="3585" max="3585" width="7.5546875" style="283" customWidth="1"/>
    <col min="3586" max="3586" width="8.109375" style="283" customWidth="1"/>
    <col min="3587" max="3587" width="17.33203125" style="283" bestFit="1" customWidth="1"/>
    <col min="3588" max="3588" width="14.88671875" style="283" bestFit="1" customWidth="1"/>
    <col min="3589" max="3589" width="4.44140625" style="283" bestFit="1" customWidth="1"/>
    <col min="3590" max="3590" width="4.44140625" style="283" customWidth="1"/>
    <col min="3591" max="3591" width="13.88671875" style="283" customWidth="1"/>
    <col min="3592" max="3592" width="4.109375" style="283" customWidth="1"/>
    <col min="3593" max="3593" width="24.109375" style="283" bestFit="1" customWidth="1"/>
    <col min="3594" max="3594" width="27.6640625" style="283" customWidth="1"/>
    <col min="3595" max="3595" width="8.88671875" style="283" customWidth="1"/>
    <col min="3596" max="3596" width="6.109375" style="283" customWidth="1"/>
    <col min="3597" max="3840" width="11.44140625" style="283"/>
    <col min="3841" max="3841" width="7.5546875" style="283" customWidth="1"/>
    <col min="3842" max="3842" width="8.109375" style="283" customWidth="1"/>
    <col min="3843" max="3843" width="17.33203125" style="283" bestFit="1" customWidth="1"/>
    <col min="3844" max="3844" width="14.88671875" style="283" bestFit="1" customWidth="1"/>
    <col min="3845" max="3845" width="4.44140625" style="283" bestFit="1" customWidth="1"/>
    <col min="3846" max="3846" width="4.44140625" style="283" customWidth="1"/>
    <col min="3847" max="3847" width="13.88671875" style="283" customWidth="1"/>
    <col min="3848" max="3848" width="4.109375" style="283" customWidth="1"/>
    <col min="3849" max="3849" width="24.109375" style="283" bestFit="1" customWidth="1"/>
    <col min="3850" max="3850" width="27.6640625" style="283" customWidth="1"/>
    <col min="3851" max="3851" width="8.88671875" style="283" customWidth="1"/>
    <col min="3852" max="3852" width="6.109375" style="283" customWidth="1"/>
    <col min="3853" max="4096" width="11.44140625" style="283"/>
    <col min="4097" max="4097" width="7.5546875" style="283" customWidth="1"/>
    <col min="4098" max="4098" width="8.109375" style="283" customWidth="1"/>
    <col min="4099" max="4099" width="17.33203125" style="283" bestFit="1" customWidth="1"/>
    <col min="4100" max="4100" width="14.88671875" style="283" bestFit="1" customWidth="1"/>
    <col min="4101" max="4101" width="4.44140625" style="283" bestFit="1" customWidth="1"/>
    <col min="4102" max="4102" width="4.44140625" style="283" customWidth="1"/>
    <col min="4103" max="4103" width="13.88671875" style="283" customWidth="1"/>
    <col min="4104" max="4104" width="4.109375" style="283" customWidth="1"/>
    <col min="4105" max="4105" width="24.109375" style="283" bestFit="1" customWidth="1"/>
    <col min="4106" max="4106" width="27.6640625" style="283" customWidth="1"/>
    <col min="4107" max="4107" width="8.88671875" style="283" customWidth="1"/>
    <col min="4108" max="4108" width="6.109375" style="283" customWidth="1"/>
    <col min="4109" max="4352" width="11.44140625" style="283"/>
    <col min="4353" max="4353" width="7.5546875" style="283" customWidth="1"/>
    <col min="4354" max="4354" width="8.109375" style="283" customWidth="1"/>
    <col min="4355" max="4355" width="17.33203125" style="283" bestFit="1" customWidth="1"/>
    <col min="4356" max="4356" width="14.88671875" style="283" bestFit="1" customWidth="1"/>
    <col min="4357" max="4357" width="4.44140625" style="283" bestFit="1" customWidth="1"/>
    <col min="4358" max="4358" width="4.44140625" style="283" customWidth="1"/>
    <col min="4359" max="4359" width="13.88671875" style="283" customWidth="1"/>
    <col min="4360" max="4360" width="4.109375" style="283" customWidth="1"/>
    <col min="4361" max="4361" width="24.109375" style="283" bestFit="1" customWidth="1"/>
    <col min="4362" max="4362" width="27.6640625" style="283" customWidth="1"/>
    <col min="4363" max="4363" width="8.88671875" style="283" customWidth="1"/>
    <col min="4364" max="4364" width="6.109375" style="283" customWidth="1"/>
    <col min="4365" max="4608" width="11.44140625" style="283"/>
    <col min="4609" max="4609" width="7.5546875" style="283" customWidth="1"/>
    <col min="4610" max="4610" width="8.109375" style="283" customWidth="1"/>
    <col min="4611" max="4611" width="17.33203125" style="283" bestFit="1" customWidth="1"/>
    <col min="4612" max="4612" width="14.88671875" style="283" bestFit="1" customWidth="1"/>
    <col min="4613" max="4613" width="4.44140625" style="283" bestFit="1" customWidth="1"/>
    <col min="4614" max="4614" width="4.44140625" style="283" customWidth="1"/>
    <col min="4615" max="4615" width="13.88671875" style="283" customWidth="1"/>
    <col min="4616" max="4616" width="4.109375" style="283" customWidth="1"/>
    <col min="4617" max="4617" width="24.109375" style="283" bestFit="1" customWidth="1"/>
    <col min="4618" max="4618" width="27.6640625" style="283" customWidth="1"/>
    <col min="4619" max="4619" width="8.88671875" style="283" customWidth="1"/>
    <col min="4620" max="4620" width="6.109375" style="283" customWidth="1"/>
    <col min="4621" max="4864" width="11.44140625" style="283"/>
    <col min="4865" max="4865" width="7.5546875" style="283" customWidth="1"/>
    <col min="4866" max="4866" width="8.109375" style="283" customWidth="1"/>
    <col min="4867" max="4867" width="17.33203125" style="283" bestFit="1" customWidth="1"/>
    <col min="4868" max="4868" width="14.88671875" style="283" bestFit="1" customWidth="1"/>
    <col min="4869" max="4869" width="4.44140625" style="283" bestFit="1" customWidth="1"/>
    <col min="4870" max="4870" width="4.44140625" style="283" customWidth="1"/>
    <col min="4871" max="4871" width="13.88671875" style="283" customWidth="1"/>
    <col min="4872" max="4872" width="4.109375" style="283" customWidth="1"/>
    <col min="4873" max="4873" width="24.109375" style="283" bestFit="1" customWidth="1"/>
    <col min="4874" max="4874" width="27.6640625" style="283" customWidth="1"/>
    <col min="4875" max="4875" width="8.88671875" style="283" customWidth="1"/>
    <col min="4876" max="4876" width="6.109375" style="283" customWidth="1"/>
    <col min="4877" max="5120" width="11.44140625" style="283"/>
    <col min="5121" max="5121" width="7.5546875" style="283" customWidth="1"/>
    <col min="5122" max="5122" width="8.109375" style="283" customWidth="1"/>
    <col min="5123" max="5123" width="17.33203125" style="283" bestFit="1" customWidth="1"/>
    <col min="5124" max="5124" width="14.88671875" style="283" bestFit="1" customWidth="1"/>
    <col min="5125" max="5125" width="4.44140625" style="283" bestFit="1" customWidth="1"/>
    <col min="5126" max="5126" width="4.44140625" style="283" customWidth="1"/>
    <col min="5127" max="5127" width="13.88671875" style="283" customWidth="1"/>
    <col min="5128" max="5128" width="4.109375" style="283" customWidth="1"/>
    <col min="5129" max="5129" width="24.109375" style="283" bestFit="1" customWidth="1"/>
    <col min="5130" max="5130" width="27.6640625" style="283" customWidth="1"/>
    <col min="5131" max="5131" width="8.88671875" style="283" customWidth="1"/>
    <col min="5132" max="5132" width="6.109375" style="283" customWidth="1"/>
    <col min="5133" max="5376" width="11.44140625" style="283"/>
    <col min="5377" max="5377" width="7.5546875" style="283" customWidth="1"/>
    <col min="5378" max="5378" width="8.109375" style="283" customWidth="1"/>
    <col min="5379" max="5379" width="17.33203125" style="283" bestFit="1" customWidth="1"/>
    <col min="5380" max="5380" width="14.88671875" style="283" bestFit="1" customWidth="1"/>
    <col min="5381" max="5381" width="4.44140625" style="283" bestFit="1" customWidth="1"/>
    <col min="5382" max="5382" width="4.44140625" style="283" customWidth="1"/>
    <col min="5383" max="5383" width="13.88671875" style="283" customWidth="1"/>
    <col min="5384" max="5384" width="4.109375" style="283" customWidth="1"/>
    <col min="5385" max="5385" width="24.109375" style="283" bestFit="1" customWidth="1"/>
    <col min="5386" max="5386" width="27.6640625" style="283" customWidth="1"/>
    <col min="5387" max="5387" width="8.88671875" style="283" customWidth="1"/>
    <col min="5388" max="5388" width="6.109375" style="283" customWidth="1"/>
    <col min="5389" max="5632" width="11.44140625" style="283"/>
    <col min="5633" max="5633" width="7.5546875" style="283" customWidth="1"/>
    <col min="5634" max="5634" width="8.109375" style="283" customWidth="1"/>
    <col min="5635" max="5635" width="17.33203125" style="283" bestFit="1" customWidth="1"/>
    <col min="5636" max="5636" width="14.88671875" style="283" bestFit="1" customWidth="1"/>
    <col min="5637" max="5637" width="4.44140625" style="283" bestFit="1" customWidth="1"/>
    <col min="5638" max="5638" width="4.44140625" style="283" customWidth="1"/>
    <col min="5639" max="5639" width="13.88671875" style="283" customWidth="1"/>
    <col min="5640" max="5640" width="4.109375" style="283" customWidth="1"/>
    <col min="5641" max="5641" width="24.109375" style="283" bestFit="1" customWidth="1"/>
    <col min="5642" max="5642" width="27.6640625" style="283" customWidth="1"/>
    <col min="5643" max="5643" width="8.88671875" style="283" customWidth="1"/>
    <col min="5644" max="5644" width="6.109375" style="283" customWidth="1"/>
    <col min="5645" max="5888" width="11.44140625" style="283"/>
    <col min="5889" max="5889" width="7.5546875" style="283" customWidth="1"/>
    <col min="5890" max="5890" width="8.109375" style="283" customWidth="1"/>
    <col min="5891" max="5891" width="17.33203125" style="283" bestFit="1" customWidth="1"/>
    <col min="5892" max="5892" width="14.88671875" style="283" bestFit="1" customWidth="1"/>
    <col min="5893" max="5893" width="4.44140625" style="283" bestFit="1" customWidth="1"/>
    <col min="5894" max="5894" width="4.44140625" style="283" customWidth="1"/>
    <col min="5895" max="5895" width="13.88671875" style="283" customWidth="1"/>
    <col min="5896" max="5896" width="4.109375" style="283" customWidth="1"/>
    <col min="5897" max="5897" width="24.109375" style="283" bestFit="1" customWidth="1"/>
    <col min="5898" max="5898" width="27.6640625" style="283" customWidth="1"/>
    <col min="5899" max="5899" width="8.88671875" style="283" customWidth="1"/>
    <col min="5900" max="5900" width="6.109375" style="283" customWidth="1"/>
    <col min="5901" max="6144" width="11.44140625" style="283"/>
    <col min="6145" max="6145" width="7.5546875" style="283" customWidth="1"/>
    <col min="6146" max="6146" width="8.109375" style="283" customWidth="1"/>
    <col min="6147" max="6147" width="17.33203125" style="283" bestFit="1" customWidth="1"/>
    <col min="6148" max="6148" width="14.88671875" style="283" bestFit="1" customWidth="1"/>
    <col min="6149" max="6149" width="4.44140625" style="283" bestFit="1" customWidth="1"/>
    <col min="6150" max="6150" width="4.44140625" style="283" customWidth="1"/>
    <col min="6151" max="6151" width="13.88671875" style="283" customWidth="1"/>
    <col min="6152" max="6152" width="4.109375" style="283" customWidth="1"/>
    <col min="6153" max="6153" width="24.109375" style="283" bestFit="1" customWidth="1"/>
    <col min="6154" max="6154" width="27.6640625" style="283" customWidth="1"/>
    <col min="6155" max="6155" width="8.88671875" style="283" customWidth="1"/>
    <col min="6156" max="6156" width="6.109375" style="283" customWidth="1"/>
    <col min="6157" max="6400" width="11.44140625" style="283"/>
    <col min="6401" max="6401" width="7.5546875" style="283" customWidth="1"/>
    <col min="6402" max="6402" width="8.109375" style="283" customWidth="1"/>
    <col min="6403" max="6403" width="17.33203125" style="283" bestFit="1" customWidth="1"/>
    <col min="6404" max="6404" width="14.88671875" style="283" bestFit="1" customWidth="1"/>
    <col min="6405" max="6405" width="4.44140625" style="283" bestFit="1" customWidth="1"/>
    <col min="6406" max="6406" width="4.44140625" style="283" customWidth="1"/>
    <col min="6407" max="6407" width="13.88671875" style="283" customWidth="1"/>
    <col min="6408" max="6408" width="4.109375" style="283" customWidth="1"/>
    <col min="6409" max="6409" width="24.109375" style="283" bestFit="1" customWidth="1"/>
    <col min="6410" max="6410" width="27.6640625" style="283" customWidth="1"/>
    <col min="6411" max="6411" width="8.88671875" style="283" customWidth="1"/>
    <col min="6412" max="6412" width="6.109375" style="283" customWidth="1"/>
    <col min="6413" max="6656" width="11.44140625" style="283"/>
    <col min="6657" max="6657" width="7.5546875" style="283" customWidth="1"/>
    <col min="6658" max="6658" width="8.109375" style="283" customWidth="1"/>
    <col min="6659" max="6659" width="17.33203125" style="283" bestFit="1" customWidth="1"/>
    <col min="6660" max="6660" width="14.88671875" style="283" bestFit="1" customWidth="1"/>
    <col min="6661" max="6661" width="4.44140625" style="283" bestFit="1" customWidth="1"/>
    <col min="6662" max="6662" width="4.44140625" style="283" customWidth="1"/>
    <col min="6663" max="6663" width="13.88671875" style="283" customWidth="1"/>
    <col min="6664" max="6664" width="4.109375" style="283" customWidth="1"/>
    <col min="6665" max="6665" width="24.109375" style="283" bestFit="1" customWidth="1"/>
    <col min="6666" max="6666" width="27.6640625" style="283" customWidth="1"/>
    <col min="6667" max="6667" width="8.88671875" style="283" customWidth="1"/>
    <col min="6668" max="6668" width="6.109375" style="283" customWidth="1"/>
    <col min="6669" max="6912" width="11.44140625" style="283"/>
    <col min="6913" max="6913" width="7.5546875" style="283" customWidth="1"/>
    <col min="6914" max="6914" width="8.109375" style="283" customWidth="1"/>
    <col min="6915" max="6915" width="17.33203125" style="283" bestFit="1" customWidth="1"/>
    <col min="6916" max="6916" width="14.88671875" style="283" bestFit="1" customWidth="1"/>
    <col min="6917" max="6917" width="4.44140625" style="283" bestFit="1" customWidth="1"/>
    <col min="6918" max="6918" width="4.44140625" style="283" customWidth="1"/>
    <col min="6919" max="6919" width="13.88671875" style="283" customWidth="1"/>
    <col min="6920" max="6920" width="4.109375" style="283" customWidth="1"/>
    <col min="6921" max="6921" width="24.109375" style="283" bestFit="1" customWidth="1"/>
    <col min="6922" max="6922" width="27.6640625" style="283" customWidth="1"/>
    <col min="6923" max="6923" width="8.88671875" style="283" customWidth="1"/>
    <col min="6924" max="6924" width="6.109375" style="283" customWidth="1"/>
    <col min="6925" max="7168" width="11.44140625" style="283"/>
    <col min="7169" max="7169" width="7.5546875" style="283" customWidth="1"/>
    <col min="7170" max="7170" width="8.109375" style="283" customWidth="1"/>
    <col min="7171" max="7171" width="17.33203125" style="283" bestFit="1" customWidth="1"/>
    <col min="7172" max="7172" width="14.88671875" style="283" bestFit="1" customWidth="1"/>
    <col min="7173" max="7173" width="4.44140625" style="283" bestFit="1" customWidth="1"/>
    <col min="7174" max="7174" width="4.44140625" style="283" customWidth="1"/>
    <col min="7175" max="7175" width="13.88671875" style="283" customWidth="1"/>
    <col min="7176" max="7176" width="4.109375" style="283" customWidth="1"/>
    <col min="7177" max="7177" width="24.109375" style="283" bestFit="1" customWidth="1"/>
    <col min="7178" max="7178" width="27.6640625" style="283" customWidth="1"/>
    <col min="7179" max="7179" width="8.88671875" style="283" customWidth="1"/>
    <col min="7180" max="7180" width="6.109375" style="283" customWidth="1"/>
    <col min="7181" max="7424" width="11.44140625" style="283"/>
    <col min="7425" max="7425" width="7.5546875" style="283" customWidth="1"/>
    <col min="7426" max="7426" width="8.109375" style="283" customWidth="1"/>
    <col min="7427" max="7427" width="17.33203125" style="283" bestFit="1" customWidth="1"/>
    <col min="7428" max="7428" width="14.88671875" style="283" bestFit="1" customWidth="1"/>
    <col min="7429" max="7429" width="4.44140625" style="283" bestFit="1" customWidth="1"/>
    <col min="7430" max="7430" width="4.44140625" style="283" customWidth="1"/>
    <col min="7431" max="7431" width="13.88671875" style="283" customWidth="1"/>
    <col min="7432" max="7432" width="4.109375" style="283" customWidth="1"/>
    <col min="7433" max="7433" width="24.109375" style="283" bestFit="1" customWidth="1"/>
    <col min="7434" max="7434" width="27.6640625" style="283" customWidth="1"/>
    <col min="7435" max="7435" width="8.88671875" style="283" customWidth="1"/>
    <col min="7436" max="7436" width="6.109375" style="283" customWidth="1"/>
    <col min="7437" max="7680" width="11.44140625" style="283"/>
    <col min="7681" max="7681" width="7.5546875" style="283" customWidth="1"/>
    <col min="7682" max="7682" width="8.109375" style="283" customWidth="1"/>
    <col min="7683" max="7683" width="17.33203125" style="283" bestFit="1" customWidth="1"/>
    <col min="7684" max="7684" width="14.88671875" style="283" bestFit="1" customWidth="1"/>
    <col min="7685" max="7685" width="4.44140625" style="283" bestFit="1" customWidth="1"/>
    <col min="7686" max="7686" width="4.44140625" style="283" customWidth="1"/>
    <col min="7687" max="7687" width="13.88671875" style="283" customWidth="1"/>
    <col min="7688" max="7688" width="4.109375" style="283" customWidth="1"/>
    <col min="7689" max="7689" width="24.109375" style="283" bestFit="1" customWidth="1"/>
    <col min="7690" max="7690" width="27.6640625" style="283" customWidth="1"/>
    <col min="7691" max="7691" width="8.88671875" style="283" customWidth="1"/>
    <col min="7692" max="7692" width="6.109375" style="283" customWidth="1"/>
    <col min="7693" max="7936" width="11.44140625" style="283"/>
    <col min="7937" max="7937" width="7.5546875" style="283" customWidth="1"/>
    <col min="7938" max="7938" width="8.109375" style="283" customWidth="1"/>
    <col min="7939" max="7939" width="17.33203125" style="283" bestFit="1" customWidth="1"/>
    <col min="7940" max="7940" width="14.88671875" style="283" bestFit="1" customWidth="1"/>
    <col min="7941" max="7941" width="4.44140625" style="283" bestFit="1" customWidth="1"/>
    <col min="7942" max="7942" width="4.44140625" style="283" customWidth="1"/>
    <col min="7943" max="7943" width="13.88671875" style="283" customWidth="1"/>
    <col min="7944" max="7944" width="4.109375" style="283" customWidth="1"/>
    <col min="7945" max="7945" width="24.109375" style="283" bestFit="1" customWidth="1"/>
    <col min="7946" max="7946" width="27.6640625" style="283" customWidth="1"/>
    <col min="7947" max="7947" width="8.88671875" style="283" customWidth="1"/>
    <col min="7948" max="7948" width="6.109375" style="283" customWidth="1"/>
    <col min="7949" max="8192" width="11.44140625" style="283"/>
    <col min="8193" max="8193" width="7.5546875" style="283" customWidth="1"/>
    <col min="8194" max="8194" width="8.109375" style="283" customWidth="1"/>
    <col min="8195" max="8195" width="17.33203125" style="283" bestFit="1" customWidth="1"/>
    <col min="8196" max="8196" width="14.88671875" style="283" bestFit="1" customWidth="1"/>
    <col min="8197" max="8197" width="4.44140625" style="283" bestFit="1" customWidth="1"/>
    <col min="8198" max="8198" width="4.44140625" style="283" customWidth="1"/>
    <col min="8199" max="8199" width="13.88671875" style="283" customWidth="1"/>
    <col min="8200" max="8200" width="4.109375" style="283" customWidth="1"/>
    <col min="8201" max="8201" width="24.109375" style="283" bestFit="1" customWidth="1"/>
    <col min="8202" max="8202" width="27.6640625" style="283" customWidth="1"/>
    <col min="8203" max="8203" width="8.88671875" style="283" customWidth="1"/>
    <col min="8204" max="8204" width="6.109375" style="283" customWidth="1"/>
    <col min="8205" max="8448" width="11.44140625" style="283"/>
    <col min="8449" max="8449" width="7.5546875" style="283" customWidth="1"/>
    <col min="8450" max="8450" width="8.109375" style="283" customWidth="1"/>
    <col min="8451" max="8451" width="17.33203125" style="283" bestFit="1" customWidth="1"/>
    <col min="8452" max="8452" width="14.88671875" style="283" bestFit="1" customWidth="1"/>
    <col min="8453" max="8453" width="4.44140625" style="283" bestFit="1" customWidth="1"/>
    <col min="8454" max="8454" width="4.44140625" style="283" customWidth="1"/>
    <col min="8455" max="8455" width="13.88671875" style="283" customWidth="1"/>
    <col min="8456" max="8456" width="4.109375" style="283" customWidth="1"/>
    <col min="8457" max="8457" width="24.109375" style="283" bestFit="1" customWidth="1"/>
    <col min="8458" max="8458" width="27.6640625" style="283" customWidth="1"/>
    <col min="8459" max="8459" width="8.88671875" style="283" customWidth="1"/>
    <col min="8460" max="8460" width="6.109375" style="283" customWidth="1"/>
    <col min="8461" max="8704" width="11.44140625" style="283"/>
    <col min="8705" max="8705" width="7.5546875" style="283" customWidth="1"/>
    <col min="8706" max="8706" width="8.109375" style="283" customWidth="1"/>
    <col min="8707" max="8707" width="17.33203125" style="283" bestFit="1" customWidth="1"/>
    <col min="8708" max="8708" width="14.88671875" style="283" bestFit="1" customWidth="1"/>
    <col min="8709" max="8709" width="4.44140625" style="283" bestFit="1" customWidth="1"/>
    <col min="8710" max="8710" width="4.44140625" style="283" customWidth="1"/>
    <col min="8711" max="8711" width="13.88671875" style="283" customWidth="1"/>
    <col min="8712" max="8712" width="4.109375" style="283" customWidth="1"/>
    <col min="8713" max="8713" width="24.109375" style="283" bestFit="1" customWidth="1"/>
    <col min="8714" max="8714" width="27.6640625" style="283" customWidth="1"/>
    <col min="8715" max="8715" width="8.88671875" style="283" customWidth="1"/>
    <col min="8716" max="8716" width="6.109375" style="283" customWidth="1"/>
    <col min="8717" max="8960" width="11.44140625" style="283"/>
    <col min="8961" max="8961" width="7.5546875" style="283" customWidth="1"/>
    <col min="8962" max="8962" width="8.109375" style="283" customWidth="1"/>
    <col min="8963" max="8963" width="17.33203125" style="283" bestFit="1" customWidth="1"/>
    <col min="8964" max="8964" width="14.88671875" style="283" bestFit="1" customWidth="1"/>
    <col min="8965" max="8965" width="4.44140625" style="283" bestFit="1" customWidth="1"/>
    <col min="8966" max="8966" width="4.44140625" style="283" customWidth="1"/>
    <col min="8967" max="8967" width="13.88671875" style="283" customWidth="1"/>
    <col min="8968" max="8968" width="4.109375" style="283" customWidth="1"/>
    <col min="8969" max="8969" width="24.109375" style="283" bestFit="1" customWidth="1"/>
    <col min="8970" max="8970" width="27.6640625" style="283" customWidth="1"/>
    <col min="8971" max="8971" width="8.88671875" style="283" customWidth="1"/>
    <col min="8972" max="8972" width="6.109375" style="283" customWidth="1"/>
    <col min="8973" max="9216" width="11.44140625" style="283"/>
    <col min="9217" max="9217" width="7.5546875" style="283" customWidth="1"/>
    <col min="9218" max="9218" width="8.109375" style="283" customWidth="1"/>
    <col min="9219" max="9219" width="17.33203125" style="283" bestFit="1" customWidth="1"/>
    <col min="9220" max="9220" width="14.88671875" style="283" bestFit="1" customWidth="1"/>
    <col min="9221" max="9221" width="4.44140625" style="283" bestFit="1" customWidth="1"/>
    <col min="9222" max="9222" width="4.44140625" style="283" customWidth="1"/>
    <col min="9223" max="9223" width="13.88671875" style="283" customWidth="1"/>
    <col min="9224" max="9224" width="4.109375" style="283" customWidth="1"/>
    <col min="9225" max="9225" width="24.109375" style="283" bestFit="1" customWidth="1"/>
    <col min="9226" max="9226" width="27.6640625" style="283" customWidth="1"/>
    <col min="9227" max="9227" width="8.88671875" style="283" customWidth="1"/>
    <col min="9228" max="9228" width="6.109375" style="283" customWidth="1"/>
    <col min="9229" max="9472" width="11.44140625" style="283"/>
    <col min="9473" max="9473" width="7.5546875" style="283" customWidth="1"/>
    <col min="9474" max="9474" width="8.109375" style="283" customWidth="1"/>
    <col min="9475" max="9475" width="17.33203125" style="283" bestFit="1" customWidth="1"/>
    <col min="9476" max="9476" width="14.88671875" style="283" bestFit="1" customWidth="1"/>
    <col min="9477" max="9477" width="4.44140625" style="283" bestFit="1" customWidth="1"/>
    <col min="9478" max="9478" width="4.44140625" style="283" customWidth="1"/>
    <col min="9479" max="9479" width="13.88671875" style="283" customWidth="1"/>
    <col min="9480" max="9480" width="4.109375" style="283" customWidth="1"/>
    <col min="9481" max="9481" width="24.109375" style="283" bestFit="1" customWidth="1"/>
    <col min="9482" max="9482" width="27.6640625" style="283" customWidth="1"/>
    <col min="9483" max="9483" width="8.88671875" style="283" customWidth="1"/>
    <col min="9484" max="9484" width="6.109375" style="283" customWidth="1"/>
    <col min="9485" max="9728" width="11.44140625" style="283"/>
    <col min="9729" max="9729" width="7.5546875" style="283" customWidth="1"/>
    <col min="9730" max="9730" width="8.109375" style="283" customWidth="1"/>
    <col min="9731" max="9731" width="17.33203125" style="283" bestFit="1" customWidth="1"/>
    <col min="9732" max="9732" width="14.88671875" style="283" bestFit="1" customWidth="1"/>
    <col min="9733" max="9733" width="4.44140625" style="283" bestFit="1" customWidth="1"/>
    <col min="9734" max="9734" width="4.44140625" style="283" customWidth="1"/>
    <col min="9735" max="9735" width="13.88671875" style="283" customWidth="1"/>
    <col min="9736" max="9736" width="4.109375" style="283" customWidth="1"/>
    <col min="9737" max="9737" width="24.109375" style="283" bestFit="1" customWidth="1"/>
    <col min="9738" max="9738" width="27.6640625" style="283" customWidth="1"/>
    <col min="9739" max="9739" width="8.88671875" style="283" customWidth="1"/>
    <col min="9740" max="9740" width="6.109375" style="283" customWidth="1"/>
    <col min="9741" max="9984" width="11.44140625" style="283"/>
    <col min="9985" max="9985" width="7.5546875" style="283" customWidth="1"/>
    <col min="9986" max="9986" width="8.109375" style="283" customWidth="1"/>
    <col min="9987" max="9987" width="17.33203125" style="283" bestFit="1" customWidth="1"/>
    <col min="9988" max="9988" width="14.88671875" style="283" bestFit="1" customWidth="1"/>
    <col min="9989" max="9989" width="4.44140625" style="283" bestFit="1" customWidth="1"/>
    <col min="9990" max="9990" width="4.44140625" style="283" customWidth="1"/>
    <col min="9991" max="9991" width="13.88671875" style="283" customWidth="1"/>
    <col min="9992" max="9992" width="4.109375" style="283" customWidth="1"/>
    <col min="9993" max="9993" width="24.109375" style="283" bestFit="1" customWidth="1"/>
    <col min="9994" max="9994" width="27.6640625" style="283" customWidth="1"/>
    <col min="9995" max="9995" width="8.88671875" style="283" customWidth="1"/>
    <col min="9996" max="9996" width="6.109375" style="283" customWidth="1"/>
    <col min="9997" max="10240" width="11.44140625" style="283"/>
    <col min="10241" max="10241" width="7.5546875" style="283" customWidth="1"/>
    <col min="10242" max="10242" width="8.109375" style="283" customWidth="1"/>
    <col min="10243" max="10243" width="17.33203125" style="283" bestFit="1" customWidth="1"/>
    <col min="10244" max="10244" width="14.88671875" style="283" bestFit="1" customWidth="1"/>
    <col min="10245" max="10245" width="4.44140625" style="283" bestFit="1" customWidth="1"/>
    <col min="10246" max="10246" width="4.44140625" style="283" customWidth="1"/>
    <col min="10247" max="10247" width="13.88671875" style="283" customWidth="1"/>
    <col min="10248" max="10248" width="4.109375" style="283" customWidth="1"/>
    <col min="10249" max="10249" width="24.109375" style="283" bestFit="1" customWidth="1"/>
    <col min="10250" max="10250" width="27.6640625" style="283" customWidth="1"/>
    <col min="10251" max="10251" width="8.88671875" style="283" customWidth="1"/>
    <col min="10252" max="10252" width="6.109375" style="283" customWidth="1"/>
    <col min="10253" max="10496" width="11.44140625" style="283"/>
    <col min="10497" max="10497" width="7.5546875" style="283" customWidth="1"/>
    <col min="10498" max="10498" width="8.109375" style="283" customWidth="1"/>
    <col min="10499" max="10499" width="17.33203125" style="283" bestFit="1" customWidth="1"/>
    <col min="10500" max="10500" width="14.88671875" style="283" bestFit="1" customWidth="1"/>
    <col min="10501" max="10501" width="4.44140625" style="283" bestFit="1" customWidth="1"/>
    <col min="10502" max="10502" width="4.44140625" style="283" customWidth="1"/>
    <col min="10503" max="10503" width="13.88671875" style="283" customWidth="1"/>
    <col min="10504" max="10504" width="4.109375" style="283" customWidth="1"/>
    <col min="10505" max="10505" width="24.109375" style="283" bestFit="1" customWidth="1"/>
    <col min="10506" max="10506" width="27.6640625" style="283" customWidth="1"/>
    <col min="10507" max="10507" width="8.88671875" style="283" customWidth="1"/>
    <col min="10508" max="10508" width="6.109375" style="283" customWidth="1"/>
    <col min="10509" max="10752" width="11.44140625" style="283"/>
    <col min="10753" max="10753" width="7.5546875" style="283" customWidth="1"/>
    <col min="10754" max="10754" width="8.109375" style="283" customWidth="1"/>
    <col min="10755" max="10755" width="17.33203125" style="283" bestFit="1" customWidth="1"/>
    <col min="10756" max="10756" width="14.88671875" style="283" bestFit="1" customWidth="1"/>
    <col min="10757" max="10757" width="4.44140625" style="283" bestFit="1" customWidth="1"/>
    <col min="10758" max="10758" width="4.44140625" style="283" customWidth="1"/>
    <col min="10759" max="10759" width="13.88671875" style="283" customWidth="1"/>
    <col min="10760" max="10760" width="4.109375" style="283" customWidth="1"/>
    <col min="10761" max="10761" width="24.109375" style="283" bestFit="1" customWidth="1"/>
    <col min="10762" max="10762" width="27.6640625" style="283" customWidth="1"/>
    <col min="10763" max="10763" width="8.88671875" style="283" customWidth="1"/>
    <col min="10764" max="10764" width="6.109375" style="283" customWidth="1"/>
    <col min="10765" max="11008" width="11.44140625" style="283"/>
    <col min="11009" max="11009" width="7.5546875" style="283" customWidth="1"/>
    <col min="11010" max="11010" width="8.109375" style="283" customWidth="1"/>
    <col min="11011" max="11011" width="17.33203125" style="283" bestFit="1" customWidth="1"/>
    <col min="11012" max="11012" width="14.88671875" style="283" bestFit="1" customWidth="1"/>
    <col min="11013" max="11013" width="4.44140625" style="283" bestFit="1" customWidth="1"/>
    <col min="11014" max="11014" width="4.44140625" style="283" customWidth="1"/>
    <col min="11015" max="11015" width="13.88671875" style="283" customWidth="1"/>
    <col min="11016" max="11016" width="4.109375" style="283" customWidth="1"/>
    <col min="11017" max="11017" width="24.109375" style="283" bestFit="1" customWidth="1"/>
    <col min="11018" max="11018" width="27.6640625" style="283" customWidth="1"/>
    <col min="11019" max="11019" width="8.88671875" style="283" customWidth="1"/>
    <col min="11020" max="11020" width="6.109375" style="283" customWidth="1"/>
    <col min="11021" max="11264" width="11.44140625" style="283"/>
    <col min="11265" max="11265" width="7.5546875" style="283" customWidth="1"/>
    <col min="11266" max="11266" width="8.109375" style="283" customWidth="1"/>
    <col min="11267" max="11267" width="17.33203125" style="283" bestFit="1" customWidth="1"/>
    <col min="11268" max="11268" width="14.88671875" style="283" bestFit="1" customWidth="1"/>
    <col min="11269" max="11269" width="4.44140625" style="283" bestFit="1" customWidth="1"/>
    <col min="11270" max="11270" width="4.44140625" style="283" customWidth="1"/>
    <col min="11271" max="11271" width="13.88671875" style="283" customWidth="1"/>
    <col min="11272" max="11272" width="4.109375" style="283" customWidth="1"/>
    <col min="11273" max="11273" width="24.109375" style="283" bestFit="1" customWidth="1"/>
    <col min="11274" max="11274" width="27.6640625" style="283" customWidth="1"/>
    <col min="11275" max="11275" width="8.88671875" style="283" customWidth="1"/>
    <col min="11276" max="11276" width="6.109375" style="283" customWidth="1"/>
    <col min="11277" max="11520" width="11.44140625" style="283"/>
    <col min="11521" max="11521" width="7.5546875" style="283" customWidth="1"/>
    <col min="11522" max="11522" width="8.109375" style="283" customWidth="1"/>
    <col min="11523" max="11523" width="17.33203125" style="283" bestFit="1" customWidth="1"/>
    <col min="11524" max="11524" width="14.88671875" style="283" bestFit="1" customWidth="1"/>
    <col min="11525" max="11525" width="4.44140625" style="283" bestFit="1" customWidth="1"/>
    <col min="11526" max="11526" width="4.44140625" style="283" customWidth="1"/>
    <col min="11527" max="11527" width="13.88671875" style="283" customWidth="1"/>
    <col min="11528" max="11528" width="4.109375" style="283" customWidth="1"/>
    <col min="11529" max="11529" width="24.109375" style="283" bestFit="1" customWidth="1"/>
    <col min="11530" max="11530" width="27.6640625" style="283" customWidth="1"/>
    <col min="11531" max="11531" width="8.88671875" style="283" customWidth="1"/>
    <col min="11532" max="11532" width="6.109375" style="283" customWidth="1"/>
    <col min="11533" max="11776" width="11.44140625" style="283"/>
    <col min="11777" max="11777" width="7.5546875" style="283" customWidth="1"/>
    <col min="11778" max="11778" width="8.109375" style="283" customWidth="1"/>
    <col min="11779" max="11779" width="17.33203125" style="283" bestFit="1" customWidth="1"/>
    <col min="11780" max="11780" width="14.88671875" style="283" bestFit="1" customWidth="1"/>
    <col min="11781" max="11781" width="4.44140625" style="283" bestFit="1" customWidth="1"/>
    <col min="11782" max="11782" width="4.44140625" style="283" customWidth="1"/>
    <col min="11783" max="11783" width="13.88671875" style="283" customWidth="1"/>
    <col min="11784" max="11784" width="4.109375" style="283" customWidth="1"/>
    <col min="11785" max="11785" width="24.109375" style="283" bestFit="1" customWidth="1"/>
    <col min="11786" max="11786" width="27.6640625" style="283" customWidth="1"/>
    <col min="11787" max="11787" width="8.88671875" style="283" customWidth="1"/>
    <col min="11788" max="11788" width="6.109375" style="283" customWidth="1"/>
    <col min="11789" max="12032" width="11.44140625" style="283"/>
    <col min="12033" max="12033" width="7.5546875" style="283" customWidth="1"/>
    <col min="12034" max="12034" width="8.109375" style="283" customWidth="1"/>
    <col min="12035" max="12035" width="17.33203125" style="283" bestFit="1" customWidth="1"/>
    <col min="12036" max="12036" width="14.88671875" style="283" bestFit="1" customWidth="1"/>
    <col min="12037" max="12037" width="4.44140625" style="283" bestFit="1" customWidth="1"/>
    <col min="12038" max="12038" width="4.44140625" style="283" customWidth="1"/>
    <col min="12039" max="12039" width="13.88671875" style="283" customWidth="1"/>
    <col min="12040" max="12040" width="4.109375" style="283" customWidth="1"/>
    <col min="12041" max="12041" width="24.109375" style="283" bestFit="1" customWidth="1"/>
    <col min="12042" max="12042" width="27.6640625" style="283" customWidth="1"/>
    <col min="12043" max="12043" width="8.88671875" style="283" customWidth="1"/>
    <col min="12044" max="12044" width="6.109375" style="283" customWidth="1"/>
    <col min="12045" max="12288" width="11.44140625" style="283"/>
    <col min="12289" max="12289" width="7.5546875" style="283" customWidth="1"/>
    <col min="12290" max="12290" width="8.109375" style="283" customWidth="1"/>
    <col min="12291" max="12291" width="17.33203125" style="283" bestFit="1" customWidth="1"/>
    <col min="12292" max="12292" width="14.88671875" style="283" bestFit="1" customWidth="1"/>
    <col min="12293" max="12293" width="4.44140625" style="283" bestFit="1" customWidth="1"/>
    <col min="12294" max="12294" width="4.44140625" style="283" customWidth="1"/>
    <col min="12295" max="12295" width="13.88671875" style="283" customWidth="1"/>
    <col min="12296" max="12296" width="4.109375" style="283" customWidth="1"/>
    <col min="12297" max="12297" width="24.109375" style="283" bestFit="1" customWidth="1"/>
    <col min="12298" max="12298" width="27.6640625" style="283" customWidth="1"/>
    <col min="12299" max="12299" width="8.88671875" style="283" customWidth="1"/>
    <col min="12300" max="12300" width="6.109375" style="283" customWidth="1"/>
    <col min="12301" max="12544" width="11.44140625" style="283"/>
    <col min="12545" max="12545" width="7.5546875" style="283" customWidth="1"/>
    <col min="12546" max="12546" width="8.109375" style="283" customWidth="1"/>
    <col min="12547" max="12547" width="17.33203125" style="283" bestFit="1" customWidth="1"/>
    <col min="12548" max="12548" width="14.88671875" style="283" bestFit="1" customWidth="1"/>
    <col min="12549" max="12549" width="4.44140625" style="283" bestFit="1" customWidth="1"/>
    <col min="12550" max="12550" width="4.44140625" style="283" customWidth="1"/>
    <col min="12551" max="12551" width="13.88671875" style="283" customWidth="1"/>
    <col min="12552" max="12552" width="4.109375" style="283" customWidth="1"/>
    <col min="12553" max="12553" width="24.109375" style="283" bestFit="1" customWidth="1"/>
    <col min="12554" max="12554" width="27.6640625" style="283" customWidth="1"/>
    <col min="12555" max="12555" width="8.88671875" style="283" customWidth="1"/>
    <col min="12556" max="12556" width="6.109375" style="283" customWidth="1"/>
    <col min="12557" max="12800" width="11.44140625" style="283"/>
    <col min="12801" max="12801" width="7.5546875" style="283" customWidth="1"/>
    <col min="12802" max="12802" width="8.109375" style="283" customWidth="1"/>
    <col min="12803" max="12803" width="17.33203125" style="283" bestFit="1" customWidth="1"/>
    <col min="12804" max="12804" width="14.88671875" style="283" bestFit="1" customWidth="1"/>
    <col min="12805" max="12805" width="4.44140625" style="283" bestFit="1" customWidth="1"/>
    <col min="12806" max="12806" width="4.44140625" style="283" customWidth="1"/>
    <col min="12807" max="12807" width="13.88671875" style="283" customWidth="1"/>
    <col min="12808" max="12808" width="4.109375" style="283" customWidth="1"/>
    <col min="12809" max="12809" width="24.109375" style="283" bestFit="1" customWidth="1"/>
    <col min="12810" max="12810" width="27.6640625" style="283" customWidth="1"/>
    <col min="12811" max="12811" width="8.88671875" style="283" customWidth="1"/>
    <col min="12812" max="12812" width="6.109375" style="283" customWidth="1"/>
    <col min="12813" max="13056" width="11.44140625" style="283"/>
    <col min="13057" max="13057" width="7.5546875" style="283" customWidth="1"/>
    <col min="13058" max="13058" width="8.109375" style="283" customWidth="1"/>
    <col min="13059" max="13059" width="17.33203125" style="283" bestFit="1" customWidth="1"/>
    <col min="13060" max="13060" width="14.88671875" style="283" bestFit="1" customWidth="1"/>
    <col min="13061" max="13061" width="4.44140625" style="283" bestFit="1" customWidth="1"/>
    <col min="13062" max="13062" width="4.44140625" style="283" customWidth="1"/>
    <col min="13063" max="13063" width="13.88671875" style="283" customWidth="1"/>
    <col min="13064" max="13064" width="4.109375" style="283" customWidth="1"/>
    <col min="13065" max="13065" width="24.109375" style="283" bestFit="1" customWidth="1"/>
    <col min="13066" max="13066" width="27.6640625" style="283" customWidth="1"/>
    <col min="13067" max="13067" width="8.88671875" style="283" customWidth="1"/>
    <col min="13068" max="13068" width="6.109375" style="283" customWidth="1"/>
    <col min="13069" max="13312" width="11.44140625" style="283"/>
    <col min="13313" max="13313" width="7.5546875" style="283" customWidth="1"/>
    <col min="13314" max="13314" width="8.109375" style="283" customWidth="1"/>
    <col min="13315" max="13315" width="17.33203125" style="283" bestFit="1" customWidth="1"/>
    <col min="13316" max="13316" width="14.88671875" style="283" bestFit="1" customWidth="1"/>
    <col min="13317" max="13317" width="4.44140625" style="283" bestFit="1" customWidth="1"/>
    <col min="13318" max="13318" width="4.44140625" style="283" customWidth="1"/>
    <col min="13319" max="13319" width="13.88671875" style="283" customWidth="1"/>
    <col min="13320" max="13320" width="4.109375" style="283" customWidth="1"/>
    <col min="13321" max="13321" width="24.109375" style="283" bestFit="1" customWidth="1"/>
    <col min="13322" max="13322" width="27.6640625" style="283" customWidth="1"/>
    <col min="13323" max="13323" width="8.88671875" style="283" customWidth="1"/>
    <col min="13324" max="13324" width="6.109375" style="283" customWidth="1"/>
    <col min="13325" max="13568" width="11.44140625" style="283"/>
    <col min="13569" max="13569" width="7.5546875" style="283" customWidth="1"/>
    <col min="13570" max="13570" width="8.109375" style="283" customWidth="1"/>
    <col min="13571" max="13571" width="17.33203125" style="283" bestFit="1" customWidth="1"/>
    <col min="13572" max="13572" width="14.88671875" style="283" bestFit="1" customWidth="1"/>
    <col min="13573" max="13573" width="4.44140625" style="283" bestFit="1" customWidth="1"/>
    <col min="13574" max="13574" width="4.44140625" style="283" customWidth="1"/>
    <col min="13575" max="13575" width="13.88671875" style="283" customWidth="1"/>
    <col min="13576" max="13576" width="4.109375" style="283" customWidth="1"/>
    <col min="13577" max="13577" width="24.109375" style="283" bestFit="1" customWidth="1"/>
    <col min="13578" max="13578" width="27.6640625" style="283" customWidth="1"/>
    <col min="13579" max="13579" width="8.88671875" style="283" customWidth="1"/>
    <col min="13580" max="13580" width="6.109375" style="283" customWidth="1"/>
    <col min="13581" max="13824" width="11.44140625" style="283"/>
    <col min="13825" max="13825" width="7.5546875" style="283" customWidth="1"/>
    <col min="13826" max="13826" width="8.109375" style="283" customWidth="1"/>
    <col min="13827" max="13827" width="17.33203125" style="283" bestFit="1" customWidth="1"/>
    <col min="13828" max="13828" width="14.88671875" style="283" bestFit="1" customWidth="1"/>
    <col min="13829" max="13829" width="4.44140625" style="283" bestFit="1" customWidth="1"/>
    <col min="13830" max="13830" width="4.44140625" style="283" customWidth="1"/>
    <col min="13831" max="13831" width="13.88671875" style="283" customWidth="1"/>
    <col min="13832" max="13832" width="4.109375" style="283" customWidth="1"/>
    <col min="13833" max="13833" width="24.109375" style="283" bestFit="1" customWidth="1"/>
    <col min="13834" max="13834" width="27.6640625" style="283" customWidth="1"/>
    <col min="13835" max="13835" width="8.88671875" style="283" customWidth="1"/>
    <col min="13836" max="13836" width="6.109375" style="283" customWidth="1"/>
    <col min="13837" max="14080" width="11.44140625" style="283"/>
    <col min="14081" max="14081" width="7.5546875" style="283" customWidth="1"/>
    <col min="14082" max="14082" width="8.109375" style="283" customWidth="1"/>
    <col min="14083" max="14083" width="17.33203125" style="283" bestFit="1" customWidth="1"/>
    <col min="14084" max="14084" width="14.88671875" style="283" bestFit="1" customWidth="1"/>
    <col min="14085" max="14085" width="4.44140625" style="283" bestFit="1" customWidth="1"/>
    <col min="14086" max="14086" width="4.44140625" style="283" customWidth="1"/>
    <col min="14087" max="14087" width="13.88671875" style="283" customWidth="1"/>
    <col min="14088" max="14088" width="4.109375" style="283" customWidth="1"/>
    <col min="14089" max="14089" width="24.109375" style="283" bestFit="1" customWidth="1"/>
    <col min="14090" max="14090" width="27.6640625" style="283" customWidth="1"/>
    <col min="14091" max="14091" width="8.88671875" style="283" customWidth="1"/>
    <col min="14092" max="14092" width="6.109375" style="283" customWidth="1"/>
    <col min="14093" max="14336" width="11.44140625" style="283"/>
    <col min="14337" max="14337" width="7.5546875" style="283" customWidth="1"/>
    <col min="14338" max="14338" width="8.109375" style="283" customWidth="1"/>
    <col min="14339" max="14339" width="17.33203125" style="283" bestFit="1" customWidth="1"/>
    <col min="14340" max="14340" width="14.88671875" style="283" bestFit="1" customWidth="1"/>
    <col min="14341" max="14341" width="4.44140625" style="283" bestFit="1" customWidth="1"/>
    <col min="14342" max="14342" width="4.44140625" style="283" customWidth="1"/>
    <col min="14343" max="14343" width="13.88671875" style="283" customWidth="1"/>
    <col min="14344" max="14344" width="4.109375" style="283" customWidth="1"/>
    <col min="14345" max="14345" width="24.109375" style="283" bestFit="1" customWidth="1"/>
    <col min="14346" max="14346" width="27.6640625" style="283" customWidth="1"/>
    <col min="14347" max="14347" width="8.88671875" style="283" customWidth="1"/>
    <col min="14348" max="14348" width="6.109375" style="283" customWidth="1"/>
    <col min="14349" max="14592" width="11.44140625" style="283"/>
    <col min="14593" max="14593" width="7.5546875" style="283" customWidth="1"/>
    <col min="14594" max="14594" width="8.109375" style="283" customWidth="1"/>
    <col min="14595" max="14595" width="17.33203125" style="283" bestFit="1" customWidth="1"/>
    <col min="14596" max="14596" width="14.88671875" style="283" bestFit="1" customWidth="1"/>
    <col min="14597" max="14597" width="4.44140625" style="283" bestFit="1" customWidth="1"/>
    <col min="14598" max="14598" width="4.44140625" style="283" customWidth="1"/>
    <col min="14599" max="14599" width="13.88671875" style="283" customWidth="1"/>
    <col min="14600" max="14600" width="4.109375" style="283" customWidth="1"/>
    <col min="14601" max="14601" width="24.109375" style="283" bestFit="1" customWidth="1"/>
    <col min="14602" max="14602" width="27.6640625" style="283" customWidth="1"/>
    <col min="14603" max="14603" width="8.88671875" style="283" customWidth="1"/>
    <col min="14604" max="14604" width="6.109375" style="283" customWidth="1"/>
    <col min="14605" max="14848" width="11.44140625" style="283"/>
    <col min="14849" max="14849" width="7.5546875" style="283" customWidth="1"/>
    <col min="14850" max="14850" width="8.109375" style="283" customWidth="1"/>
    <col min="14851" max="14851" width="17.33203125" style="283" bestFit="1" customWidth="1"/>
    <col min="14852" max="14852" width="14.88671875" style="283" bestFit="1" customWidth="1"/>
    <col min="14853" max="14853" width="4.44140625" style="283" bestFit="1" customWidth="1"/>
    <col min="14854" max="14854" width="4.44140625" style="283" customWidth="1"/>
    <col min="14855" max="14855" width="13.88671875" style="283" customWidth="1"/>
    <col min="14856" max="14856" width="4.109375" style="283" customWidth="1"/>
    <col min="14857" max="14857" width="24.109375" style="283" bestFit="1" customWidth="1"/>
    <col min="14858" max="14858" width="27.6640625" style="283" customWidth="1"/>
    <col min="14859" max="14859" width="8.88671875" style="283" customWidth="1"/>
    <col min="14860" max="14860" width="6.109375" style="283" customWidth="1"/>
    <col min="14861" max="15104" width="11.44140625" style="283"/>
    <col min="15105" max="15105" width="7.5546875" style="283" customWidth="1"/>
    <col min="15106" max="15106" width="8.109375" style="283" customWidth="1"/>
    <col min="15107" max="15107" width="17.33203125" style="283" bestFit="1" customWidth="1"/>
    <col min="15108" max="15108" width="14.88671875" style="283" bestFit="1" customWidth="1"/>
    <col min="15109" max="15109" width="4.44140625" style="283" bestFit="1" customWidth="1"/>
    <col min="15110" max="15110" width="4.44140625" style="283" customWidth="1"/>
    <col min="15111" max="15111" width="13.88671875" style="283" customWidth="1"/>
    <col min="15112" max="15112" width="4.109375" style="283" customWidth="1"/>
    <col min="15113" max="15113" width="24.109375" style="283" bestFit="1" customWidth="1"/>
    <col min="15114" max="15114" width="27.6640625" style="283" customWidth="1"/>
    <col min="15115" max="15115" width="8.88671875" style="283" customWidth="1"/>
    <col min="15116" max="15116" width="6.109375" style="283" customWidth="1"/>
    <col min="15117" max="15360" width="11.44140625" style="283"/>
    <col min="15361" max="15361" width="7.5546875" style="283" customWidth="1"/>
    <col min="15362" max="15362" width="8.109375" style="283" customWidth="1"/>
    <col min="15363" max="15363" width="17.33203125" style="283" bestFit="1" customWidth="1"/>
    <col min="15364" max="15364" width="14.88671875" style="283" bestFit="1" customWidth="1"/>
    <col min="15365" max="15365" width="4.44140625" style="283" bestFit="1" customWidth="1"/>
    <col min="15366" max="15366" width="4.44140625" style="283" customWidth="1"/>
    <col min="15367" max="15367" width="13.88671875" style="283" customWidth="1"/>
    <col min="15368" max="15368" width="4.109375" style="283" customWidth="1"/>
    <col min="15369" max="15369" width="24.109375" style="283" bestFit="1" customWidth="1"/>
    <col min="15370" max="15370" width="27.6640625" style="283" customWidth="1"/>
    <col min="15371" max="15371" width="8.88671875" style="283" customWidth="1"/>
    <col min="15372" max="15372" width="6.109375" style="283" customWidth="1"/>
    <col min="15373" max="15616" width="11.44140625" style="283"/>
    <col min="15617" max="15617" width="7.5546875" style="283" customWidth="1"/>
    <col min="15618" max="15618" width="8.109375" style="283" customWidth="1"/>
    <col min="15619" max="15619" width="17.33203125" style="283" bestFit="1" customWidth="1"/>
    <col min="15620" max="15620" width="14.88671875" style="283" bestFit="1" customWidth="1"/>
    <col min="15621" max="15621" width="4.44140625" style="283" bestFit="1" customWidth="1"/>
    <col min="15622" max="15622" width="4.44140625" style="283" customWidth="1"/>
    <col min="15623" max="15623" width="13.88671875" style="283" customWidth="1"/>
    <col min="15624" max="15624" width="4.109375" style="283" customWidth="1"/>
    <col min="15625" max="15625" width="24.109375" style="283" bestFit="1" customWidth="1"/>
    <col min="15626" max="15626" width="27.6640625" style="283" customWidth="1"/>
    <col min="15627" max="15627" width="8.88671875" style="283" customWidth="1"/>
    <col min="15628" max="15628" width="6.109375" style="283" customWidth="1"/>
    <col min="15629" max="15872" width="11.44140625" style="283"/>
    <col min="15873" max="15873" width="7.5546875" style="283" customWidth="1"/>
    <col min="15874" max="15874" width="8.109375" style="283" customWidth="1"/>
    <col min="15875" max="15875" width="17.33203125" style="283" bestFit="1" customWidth="1"/>
    <col min="15876" max="15876" width="14.88671875" style="283" bestFit="1" customWidth="1"/>
    <col min="15877" max="15877" width="4.44140625" style="283" bestFit="1" customWidth="1"/>
    <col min="15878" max="15878" width="4.44140625" style="283" customWidth="1"/>
    <col min="15879" max="15879" width="13.88671875" style="283" customWidth="1"/>
    <col min="15880" max="15880" width="4.109375" style="283" customWidth="1"/>
    <col min="15881" max="15881" width="24.109375" style="283" bestFit="1" customWidth="1"/>
    <col min="15882" max="15882" width="27.6640625" style="283" customWidth="1"/>
    <col min="15883" max="15883" width="8.88671875" style="283" customWidth="1"/>
    <col min="15884" max="15884" width="6.109375" style="283" customWidth="1"/>
    <col min="15885" max="16128" width="11.44140625" style="283"/>
    <col min="16129" max="16129" width="7.5546875" style="283" customWidth="1"/>
    <col min="16130" max="16130" width="8.109375" style="283" customWidth="1"/>
    <col min="16131" max="16131" width="17.33203125" style="283" bestFit="1" customWidth="1"/>
    <col min="16132" max="16132" width="14.88671875" style="283" bestFit="1" customWidth="1"/>
    <col min="16133" max="16133" width="4.44140625" style="283" bestFit="1" customWidth="1"/>
    <col min="16134" max="16134" width="4.44140625" style="283" customWidth="1"/>
    <col min="16135" max="16135" width="13.88671875" style="283" customWidth="1"/>
    <col min="16136" max="16136" width="4.109375" style="283" customWidth="1"/>
    <col min="16137" max="16137" width="24.109375" style="283" bestFit="1" customWidth="1"/>
    <col min="16138" max="16138" width="27.6640625" style="283" customWidth="1"/>
    <col min="16139" max="16139" width="8.88671875" style="283" customWidth="1"/>
    <col min="16140" max="16140" width="6.109375" style="283" customWidth="1"/>
    <col min="16141" max="16384" width="11.44140625" style="283"/>
  </cols>
  <sheetData>
    <row r="1" spans="1:17" s="278" customFormat="1" ht="22.5" customHeight="1" x14ac:dyDescent="0.3">
      <c r="A1" s="239" t="s">
        <v>2423</v>
      </c>
      <c r="B1" s="240"/>
      <c r="C1" s="241"/>
      <c r="D1" s="242"/>
      <c r="E1" s="242"/>
      <c r="F1" s="243"/>
      <c r="G1" s="242"/>
      <c r="H1" s="242"/>
      <c r="I1" s="244"/>
      <c r="J1" s="240"/>
      <c r="K1" s="243"/>
    </row>
    <row r="2" spans="1:17" s="279" customFormat="1" ht="21" customHeight="1" x14ac:dyDescent="0.3">
      <c r="A2" s="245" t="s">
        <v>2424</v>
      </c>
      <c r="B2" s="240"/>
      <c r="C2" s="241"/>
      <c r="D2" s="242"/>
      <c r="E2" s="242"/>
      <c r="F2" s="243"/>
      <c r="G2" s="242"/>
      <c r="H2" s="242"/>
      <c r="I2" s="244"/>
      <c r="J2" s="240"/>
      <c r="K2" s="243"/>
    </row>
    <row r="3" spans="1:17" s="279" customFormat="1" ht="21" customHeight="1" x14ac:dyDescent="0.3">
      <c r="A3" s="245" t="s">
        <v>1861</v>
      </c>
      <c r="B3" s="240"/>
      <c r="C3" s="241"/>
      <c r="D3" s="242"/>
      <c r="E3" s="242"/>
      <c r="F3" s="243"/>
      <c r="G3" s="244"/>
      <c r="H3" s="242"/>
      <c r="I3" s="244"/>
      <c r="J3" s="240"/>
      <c r="K3" s="243"/>
    </row>
    <row r="4" spans="1:17" ht="40.799999999999997" x14ac:dyDescent="0.3">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5">
      <c r="A5" s="249">
        <v>38175</v>
      </c>
      <c r="B5" s="250" t="s">
        <v>40</v>
      </c>
      <c r="C5" s="251" t="s">
        <v>41</v>
      </c>
      <c r="D5" s="251" t="s">
        <v>42</v>
      </c>
      <c r="E5" s="251"/>
      <c r="F5" s="252" t="s">
        <v>43</v>
      </c>
      <c r="G5" s="285" t="s">
        <v>44</v>
      </c>
      <c r="H5" s="286" t="s">
        <v>66</v>
      </c>
      <c r="I5" s="251" t="s">
        <v>46</v>
      </c>
      <c r="J5" s="251" t="s">
        <v>47</v>
      </c>
      <c r="K5" s="255" t="s">
        <v>48</v>
      </c>
    </row>
    <row r="6" spans="1:17" ht="12.75" customHeight="1" x14ac:dyDescent="0.25">
      <c r="A6" s="249">
        <v>38730</v>
      </c>
      <c r="B6" s="250" t="s">
        <v>1862</v>
      </c>
      <c r="C6" s="257" t="s">
        <v>1863</v>
      </c>
      <c r="D6" s="257" t="s">
        <v>1864</v>
      </c>
      <c r="E6" s="257" t="s">
        <v>2371</v>
      </c>
      <c r="F6" s="252" t="s">
        <v>43</v>
      </c>
      <c r="G6" s="285" t="s">
        <v>44</v>
      </c>
      <c r="H6" s="286" t="s">
        <v>180</v>
      </c>
      <c r="I6" s="257" t="s">
        <v>46</v>
      </c>
      <c r="J6" s="257" t="s">
        <v>47</v>
      </c>
      <c r="K6" s="255" t="s">
        <v>48</v>
      </c>
      <c r="M6" s="287" t="s">
        <v>2425</v>
      </c>
      <c r="N6" s="287"/>
    </row>
    <row r="7" spans="1:17" ht="12.75" customHeight="1" x14ac:dyDescent="0.25">
      <c r="A7" s="249">
        <v>3175</v>
      </c>
      <c r="B7" s="250" t="s">
        <v>2426</v>
      </c>
      <c r="C7" s="250" t="s">
        <v>2427</v>
      </c>
      <c r="D7" s="250" t="s">
        <v>117</v>
      </c>
      <c r="E7" s="256"/>
      <c r="F7" s="252" t="s">
        <v>43</v>
      </c>
      <c r="G7" s="285" t="s">
        <v>67</v>
      </c>
      <c r="H7" s="286"/>
      <c r="I7" s="251" t="s">
        <v>46</v>
      </c>
      <c r="J7" s="251" t="s">
        <v>47</v>
      </c>
      <c r="K7" s="255" t="s">
        <v>48</v>
      </c>
    </row>
    <row r="8" spans="1:17" ht="12.75" customHeight="1" x14ac:dyDescent="0.25">
      <c r="A8" s="249">
        <v>7306</v>
      </c>
      <c r="B8" s="250" t="s">
        <v>54</v>
      </c>
      <c r="C8" s="251" t="s">
        <v>55</v>
      </c>
      <c r="D8" s="251" t="s">
        <v>56</v>
      </c>
      <c r="E8" s="251"/>
      <c r="F8" s="252" t="s">
        <v>49</v>
      </c>
      <c r="G8" s="285" t="s">
        <v>50</v>
      </c>
      <c r="H8" s="286" t="s">
        <v>45</v>
      </c>
      <c r="I8" s="251" t="s">
        <v>46</v>
      </c>
      <c r="J8" s="251" t="s">
        <v>47</v>
      </c>
      <c r="K8" s="255" t="s">
        <v>48</v>
      </c>
    </row>
    <row r="9" spans="1:17" ht="12.75" customHeight="1" x14ac:dyDescent="0.25">
      <c r="A9" s="249">
        <v>38591</v>
      </c>
      <c r="B9" s="250" t="s">
        <v>2327</v>
      </c>
      <c r="C9" s="251" t="s">
        <v>60</v>
      </c>
      <c r="D9" s="251" t="s">
        <v>61</v>
      </c>
      <c r="E9" s="251"/>
      <c r="F9" s="252" t="s">
        <v>43</v>
      </c>
      <c r="G9" s="285" t="s">
        <v>44</v>
      </c>
      <c r="H9" s="286"/>
      <c r="I9" s="251" t="s">
        <v>46</v>
      </c>
      <c r="J9" s="251" t="s">
        <v>47</v>
      </c>
      <c r="K9" s="255" t="s">
        <v>48</v>
      </c>
    </row>
    <row r="10" spans="1:17" ht="12.75" customHeight="1" x14ac:dyDescent="0.25">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5">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5">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5">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5">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5">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5">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5">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5">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5">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5">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5">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5">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3">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5">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5">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5">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5">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5">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5">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5">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5">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5">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5">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5">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5">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5">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5">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5">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5">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5">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5">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5">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5">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5">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5">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5">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5">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5">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5">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5">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5">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5">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5">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5">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5">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5">
      <c r="A56" s="249">
        <v>38930</v>
      </c>
      <c r="B56" s="250" t="s">
        <v>2428</v>
      </c>
      <c r="C56" s="251" t="s">
        <v>2429</v>
      </c>
      <c r="D56" s="251" t="s">
        <v>265</v>
      </c>
      <c r="E56" s="251"/>
      <c r="F56" s="252" t="s">
        <v>43</v>
      </c>
      <c r="G56" s="285" t="s">
        <v>67</v>
      </c>
      <c r="H56" s="286">
        <v>0</v>
      </c>
      <c r="I56" s="251" t="s">
        <v>154</v>
      </c>
      <c r="J56" s="251" t="s">
        <v>155</v>
      </c>
      <c r="K56" s="255" t="s">
        <v>156</v>
      </c>
      <c r="L56" s="282"/>
      <c r="M56" s="282"/>
      <c r="N56" s="282"/>
      <c r="Q56" s="284"/>
    </row>
    <row r="57" spans="1:17" ht="12.75" customHeight="1" x14ac:dyDescent="0.25">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5">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5">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5">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5">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5">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5">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5">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5">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5">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5">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5">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5">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5">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5">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5">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5">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5">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5">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5">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5">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5">
      <c r="A78" s="249">
        <v>7019</v>
      </c>
      <c r="B78" s="250" t="s">
        <v>2430</v>
      </c>
      <c r="C78" s="251" t="s">
        <v>227</v>
      </c>
      <c r="D78" s="251" t="s">
        <v>2431</v>
      </c>
      <c r="E78" s="251"/>
      <c r="F78" s="252" t="s">
        <v>49</v>
      </c>
      <c r="G78" s="258" t="s">
        <v>228</v>
      </c>
      <c r="H78" s="259">
        <v>0</v>
      </c>
      <c r="I78" s="251" t="s">
        <v>218</v>
      </c>
      <c r="J78" s="251" t="s">
        <v>204</v>
      </c>
      <c r="K78" s="255" t="s">
        <v>205</v>
      </c>
    </row>
    <row r="79" spans="1:11" ht="12.75" customHeight="1" x14ac:dyDescent="0.25">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5">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5">
      <c r="A81" s="249">
        <v>16245</v>
      </c>
      <c r="B81" s="250" t="s">
        <v>2432</v>
      </c>
      <c r="C81" s="251" t="s">
        <v>2433</v>
      </c>
      <c r="D81" s="251" t="s">
        <v>703</v>
      </c>
      <c r="E81" s="251"/>
      <c r="F81" s="252" t="s">
        <v>43</v>
      </c>
      <c r="G81" s="253" t="s">
        <v>52</v>
      </c>
      <c r="H81" s="254">
        <v>0</v>
      </c>
      <c r="I81" s="251" t="s">
        <v>232</v>
      </c>
      <c r="J81" s="251" t="s">
        <v>204</v>
      </c>
      <c r="K81" s="255" t="s">
        <v>205</v>
      </c>
    </row>
    <row r="82" spans="1:17" ht="12.75" customHeight="1" x14ac:dyDescent="0.25">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5">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5">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5">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5">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5">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5">
      <c r="A88" s="249">
        <v>38906</v>
      </c>
      <c r="B88" s="250" t="s">
        <v>2434</v>
      </c>
      <c r="C88" s="251" t="s">
        <v>2435</v>
      </c>
      <c r="D88" s="251" t="s">
        <v>545</v>
      </c>
      <c r="E88" s="251"/>
      <c r="F88" s="252" t="s">
        <v>49</v>
      </c>
      <c r="G88" s="285" t="s">
        <v>79</v>
      </c>
      <c r="H88" s="286"/>
      <c r="I88" s="251" t="s">
        <v>255</v>
      </c>
      <c r="J88" s="251" t="s">
        <v>204</v>
      </c>
      <c r="K88" s="255" t="s">
        <v>205</v>
      </c>
      <c r="L88" s="282"/>
      <c r="M88" s="282"/>
      <c r="N88" s="282"/>
      <c r="Q88" s="284"/>
    </row>
    <row r="89" spans="1:17" ht="12.75" customHeight="1" x14ac:dyDescent="0.25">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5">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5">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5">
      <c r="A92" s="249">
        <v>38931</v>
      </c>
      <c r="B92" s="250" t="s">
        <v>2436</v>
      </c>
      <c r="C92" s="251" t="s">
        <v>628</v>
      </c>
      <c r="D92" s="251" t="s">
        <v>2437</v>
      </c>
      <c r="E92" s="251"/>
      <c r="F92" s="252" t="s">
        <v>49</v>
      </c>
      <c r="G92" s="258" t="s">
        <v>79</v>
      </c>
      <c r="H92" s="259">
        <v>0</v>
      </c>
      <c r="I92" s="251" t="s">
        <v>255</v>
      </c>
      <c r="J92" s="251" t="s">
        <v>204</v>
      </c>
      <c r="K92" s="255" t="s">
        <v>205</v>
      </c>
      <c r="L92" s="282"/>
      <c r="M92" s="282"/>
      <c r="N92" s="282"/>
      <c r="Q92" s="284"/>
    </row>
    <row r="93" spans="1:17" ht="12.75" customHeight="1" x14ac:dyDescent="0.25">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5">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5">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5">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5">
      <c r="A97" s="249">
        <v>38909</v>
      </c>
      <c r="B97" s="250" t="s">
        <v>2438</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5">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5">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5">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5">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5">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5">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5">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5">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5">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5">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5">
      <c r="A108" s="249">
        <v>38565</v>
      </c>
      <c r="B108" s="250" t="s">
        <v>2439</v>
      </c>
      <c r="C108" s="251" t="s">
        <v>2440</v>
      </c>
      <c r="D108" s="251" t="s">
        <v>282</v>
      </c>
      <c r="E108" s="251"/>
      <c r="F108" s="252" t="s">
        <v>43</v>
      </c>
      <c r="G108" s="253" t="s">
        <v>44</v>
      </c>
      <c r="H108" s="254">
        <v>0</v>
      </c>
      <c r="I108" s="251" t="s">
        <v>273</v>
      </c>
      <c r="J108" s="251" t="s">
        <v>274</v>
      </c>
      <c r="K108" s="255" t="s">
        <v>275</v>
      </c>
    </row>
    <row r="109" spans="1:17" ht="12.75" customHeight="1" x14ac:dyDescent="0.25">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5">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5">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5">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5">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5">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3">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5">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5">
      <c r="A117" s="249">
        <v>38926</v>
      </c>
      <c r="B117" s="250" t="s">
        <v>2441</v>
      </c>
      <c r="C117" s="251" t="s">
        <v>290</v>
      </c>
      <c r="D117" s="251" t="s">
        <v>73</v>
      </c>
      <c r="E117" s="251"/>
      <c r="F117" s="252" t="s">
        <v>43</v>
      </c>
      <c r="G117" s="285" t="s">
        <v>52</v>
      </c>
      <c r="H117" s="286">
        <v>0</v>
      </c>
      <c r="I117" s="251" t="s">
        <v>273</v>
      </c>
      <c r="J117" s="251" t="s">
        <v>274</v>
      </c>
      <c r="K117" s="255" t="s">
        <v>275</v>
      </c>
    </row>
    <row r="118" spans="1:17" ht="12.75" customHeight="1" x14ac:dyDescent="0.25">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5">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5">
      <c r="A120" s="249">
        <v>38631</v>
      </c>
      <c r="B120" s="250" t="s">
        <v>2442</v>
      </c>
      <c r="C120" s="251" t="s">
        <v>215</v>
      </c>
      <c r="D120" s="251" t="s">
        <v>1779</v>
      </c>
      <c r="E120" s="251"/>
      <c r="F120" s="252" t="s">
        <v>43</v>
      </c>
      <c r="G120" s="258" t="s">
        <v>44</v>
      </c>
      <c r="H120" s="259">
        <v>0</v>
      </c>
      <c r="I120" s="251" t="s">
        <v>273</v>
      </c>
      <c r="J120" s="251" t="s">
        <v>274</v>
      </c>
      <c r="K120" s="255" t="s">
        <v>275</v>
      </c>
    </row>
    <row r="121" spans="1:17" ht="12.75" customHeight="1" x14ac:dyDescent="0.25">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5">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5">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5">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5">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5">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5">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5">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5">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5">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5">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5">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5">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3">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5">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5">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5">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5">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3">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3">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5">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5">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5">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5">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5">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5">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5">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5">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5">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5">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5">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5">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5">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3">
      <c r="A154" s="249">
        <v>38671</v>
      </c>
      <c r="B154" s="250" t="s">
        <v>428</v>
      </c>
      <c r="C154" s="257" t="s">
        <v>2443</v>
      </c>
      <c r="D154" s="257" t="s">
        <v>288</v>
      </c>
      <c r="E154" s="257" t="s">
        <v>2371</v>
      </c>
      <c r="F154" s="252" t="s">
        <v>43</v>
      </c>
      <c r="G154" s="285" t="s">
        <v>44</v>
      </c>
      <c r="H154" s="286"/>
      <c r="I154" s="257" t="s">
        <v>343</v>
      </c>
      <c r="J154" s="257" t="s">
        <v>302</v>
      </c>
      <c r="K154" s="255" t="s">
        <v>303</v>
      </c>
    </row>
    <row r="155" spans="1:11" ht="12.75" customHeight="1" x14ac:dyDescent="0.25">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5">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5">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5">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5">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5">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5">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5">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5">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5">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5">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5">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5">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5">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5">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5">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5">
      <c r="A171" s="249">
        <v>38907</v>
      </c>
      <c r="B171" s="250" t="s">
        <v>2444</v>
      </c>
      <c r="C171" s="257" t="s">
        <v>2445</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5">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5">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5">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5">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5">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5">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5">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5">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5">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5">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5">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5">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5">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5">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5">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5">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5">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5">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5">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5">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5">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5">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5">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5">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5">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5">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5">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5">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5">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5">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5">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5">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5">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5">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5">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5">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5">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5">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5">
      <c r="A210" s="249">
        <v>38911</v>
      </c>
      <c r="B210" s="250" t="s">
        <v>2446</v>
      </c>
      <c r="C210" s="251" t="s">
        <v>2447</v>
      </c>
      <c r="D210" s="251" t="s">
        <v>152</v>
      </c>
      <c r="E210" s="251"/>
      <c r="F210" s="252" t="s">
        <v>49</v>
      </c>
      <c r="G210" s="253" t="s">
        <v>79</v>
      </c>
      <c r="H210" s="254">
        <v>0</v>
      </c>
      <c r="I210" s="251" t="s">
        <v>439</v>
      </c>
      <c r="J210" s="251" t="s">
        <v>440</v>
      </c>
      <c r="K210" s="255" t="s">
        <v>441</v>
      </c>
    </row>
    <row r="211" spans="1:17" ht="12.75" customHeight="1" x14ac:dyDescent="0.25">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5">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5">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5">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5">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5">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5">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5">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5">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5">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5">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5">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5">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5">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5">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5">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5">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5">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5">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5">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5">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5">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5">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5">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5">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5">
      <c r="A236" s="249">
        <v>38908</v>
      </c>
      <c r="B236" s="250" t="s">
        <v>2448</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5">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5">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5">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5">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5">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5">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5">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5">
      <c r="A244" s="249">
        <v>10662</v>
      </c>
      <c r="B244" s="250" t="s">
        <v>2449</v>
      </c>
      <c r="C244" s="251" t="s">
        <v>2450</v>
      </c>
      <c r="D244" s="251" t="s">
        <v>93</v>
      </c>
      <c r="E244" s="251"/>
      <c r="F244" s="252" t="s">
        <v>43</v>
      </c>
      <c r="G244" s="253" t="s">
        <v>44</v>
      </c>
      <c r="H244" s="254">
        <v>0</v>
      </c>
      <c r="I244" s="251" t="s">
        <v>561</v>
      </c>
      <c r="J244" s="251" t="s">
        <v>562</v>
      </c>
      <c r="K244" s="255" t="s">
        <v>24</v>
      </c>
    </row>
    <row r="245" spans="1:11" ht="12.75" customHeight="1" x14ac:dyDescent="0.25">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5">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5">
      <c r="A247" s="249">
        <v>25911</v>
      </c>
      <c r="B247" s="250" t="s">
        <v>2451</v>
      </c>
      <c r="C247" s="251" t="s">
        <v>573</v>
      </c>
      <c r="D247" s="251" t="s">
        <v>117</v>
      </c>
      <c r="E247" s="251"/>
      <c r="F247" s="252" t="s">
        <v>43</v>
      </c>
      <c r="G247" s="285" t="s">
        <v>52</v>
      </c>
      <c r="H247" s="286" t="s">
        <v>104</v>
      </c>
      <c r="I247" s="251" t="s">
        <v>561</v>
      </c>
      <c r="J247" s="251" t="s">
        <v>562</v>
      </c>
      <c r="K247" s="255" t="s">
        <v>24</v>
      </c>
    </row>
    <row r="248" spans="1:11" ht="12.75" customHeight="1" x14ac:dyDescent="0.25">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5">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5">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5">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5">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5">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5">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5">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5">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5">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5">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5">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5">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5">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5">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5">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5">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5">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5">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5">
      <c r="A267" s="249">
        <v>16722</v>
      </c>
      <c r="B267" s="250" t="s">
        <v>2452</v>
      </c>
      <c r="C267" s="251" t="s">
        <v>2453</v>
      </c>
      <c r="D267" s="251" t="s">
        <v>179</v>
      </c>
      <c r="E267" s="251"/>
      <c r="F267" s="252" t="s">
        <v>43</v>
      </c>
      <c r="G267" s="253" t="s">
        <v>44</v>
      </c>
      <c r="H267" s="254">
        <v>0</v>
      </c>
      <c r="I267" s="251" t="s">
        <v>561</v>
      </c>
      <c r="J267" s="251" t="s">
        <v>562</v>
      </c>
      <c r="K267" s="255" t="s">
        <v>24</v>
      </c>
    </row>
    <row r="268" spans="1:17" ht="12.75" customHeight="1" x14ac:dyDescent="0.25">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5">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5">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5">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5">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5">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5">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5">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5">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5">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5">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5">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5">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5">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5">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5">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5">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5">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5">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5">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5">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5">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5">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5">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5">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5">
      <c r="A293" s="249">
        <v>38927</v>
      </c>
      <c r="B293" s="250" t="s">
        <v>2454</v>
      </c>
      <c r="C293" s="251" t="s">
        <v>2223</v>
      </c>
      <c r="D293" s="251" t="s">
        <v>2236</v>
      </c>
      <c r="E293" s="251"/>
      <c r="F293" s="252" t="s">
        <v>43</v>
      </c>
      <c r="G293" s="258" t="s">
        <v>89</v>
      </c>
      <c r="H293" s="259">
        <v>0</v>
      </c>
      <c r="I293" s="251" t="s">
        <v>672</v>
      </c>
      <c r="J293" s="251" t="s">
        <v>673</v>
      </c>
      <c r="K293" s="255" t="s">
        <v>674</v>
      </c>
    </row>
    <row r="294" spans="1:17" ht="12.75" customHeight="1" x14ac:dyDescent="0.25">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5">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5">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5">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5">
      <c r="A298" s="249">
        <v>38915</v>
      </c>
      <c r="B298" s="250" t="s">
        <v>2455</v>
      </c>
      <c r="C298" s="251" t="s">
        <v>2456</v>
      </c>
      <c r="D298" s="251" t="s">
        <v>2457</v>
      </c>
      <c r="E298" s="251"/>
      <c r="F298" s="252" t="s">
        <v>43</v>
      </c>
      <c r="G298" s="258" t="s">
        <v>89</v>
      </c>
      <c r="H298" s="259">
        <v>0</v>
      </c>
      <c r="I298" s="251" t="s">
        <v>672</v>
      </c>
      <c r="J298" s="251" t="s">
        <v>673</v>
      </c>
      <c r="K298" s="255" t="s">
        <v>674</v>
      </c>
    </row>
    <row r="299" spans="1:17" ht="12.75" customHeight="1" x14ac:dyDescent="0.25">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5">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5">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5">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5">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5">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5">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5">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5">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5">
      <c r="A308" s="249">
        <v>38735</v>
      </c>
      <c r="B308" s="250" t="s">
        <v>2458</v>
      </c>
      <c r="C308" s="251" t="s">
        <v>1881</v>
      </c>
      <c r="D308" s="251" t="s">
        <v>2459</v>
      </c>
      <c r="E308" s="251"/>
      <c r="F308" s="252" t="s">
        <v>49</v>
      </c>
      <c r="G308" s="258" t="s">
        <v>79</v>
      </c>
      <c r="H308" s="259">
        <v>0</v>
      </c>
      <c r="I308" s="251" t="s">
        <v>680</v>
      </c>
      <c r="J308" s="251" t="s">
        <v>677</v>
      </c>
      <c r="K308" s="255" t="s">
        <v>678</v>
      </c>
    </row>
    <row r="309" spans="1:17" ht="12.75" customHeight="1" x14ac:dyDescent="0.25">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5">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5">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5">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5">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5">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5">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5">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5">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5">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5">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5">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5">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5">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5">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5">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5">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5">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5">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5">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5">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5">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5">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5">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5">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5">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5">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5">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5">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5">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5">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5">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5">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5">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5">
      <c r="A343" s="249">
        <v>38912</v>
      </c>
      <c r="B343" s="250" t="s">
        <v>2460</v>
      </c>
      <c r="C343" s="264" t="s">
        <v>1903</v>
      </c>
      <c r="D343" s="257" t="s">
        <v>2461</v>
      </c>
      <c r="E343" s="257" t="s">
        <v>2371</v>
      </c>
      <c r="F343" s="252" t="s">
        <v>43</v>
      </c>
      <c r="G343" s="253" t="s">
        <v>44</v>
      </c>
      <c r="H343" s="254">
        <v>0</v>
      </c>
      <c r="I343" s="257" t="s">
        <v>739</v>
      </c>
      <c r="J343" s="257" t="s">
        <v>740</v>
      </c>
      <c r="K343" s="255" t="s">
        <v>741</v>
      </c>
    </row>
    <row r="344" spans="1:11" ht="12.75" customHeight="1" x14ac:dyDescent="0.25">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5">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5">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5">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5">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5">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5">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5">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5">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5">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5">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5">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5">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5">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5">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5">
      <c r="A359" s="249">
        <v>38925</v>
      </c>
      <c r="B359" s="250" t="s">
        <v>2462</v>
      </c>
      <c r="C359" s="264" t="s">
        <v>2463</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5">
      <c r="A360" s="249">
        <v>38924</v>
      </c>
      <c r="B360" s="250" t="s">
        <v>2464</v>
      </c>
      <c r="C360" s="264" t="s">
        <v>2463</v>
      </c>
      <c r="D360" s="257" t="s">
        <v>2465</v>
      </c>
      <c r="E360" s="257" t="s">
        <v>2371</v>
      </c>
      <c r="F360" s="252" t="s">
        <v>43</v>
      </c>
      <c r="G360" s="253" t="s">
        <v>2048</v>
      </c>
      <c r="H360" s="254">
        <v>0</v>
      </c>
      <c r="I360" s="257" t="s">
        <v>739</v>
      </c>
      <c r="J360" s="257" t="s">
        <v>740</v>
      </c>
      <c r="K360" s="255" t="s">
        <v>741</v>
      </c>
    </row>
    <row r="361" spans="1:17" ht="12.75" customHeight="1" x14ac:dyDescent="0.25">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5">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5">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5">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5">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5">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5">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5">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5">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5">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5">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5">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5">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5">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5">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5">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5">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5">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5">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5">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5">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5">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5">
      <c r="A383" s="249">
        <v>38922</v>
      </c>
      <c r="B383" s="250" t="s">
        <v>2466</v>
      </c>
      <c r="C383" s="264" t="s">
        <v>2467</v>
      </c>
      <c r="D383" s="257" t="s">
        <v>2468</v>
      </c>
      <c r="E383" s="257" t="s">
        <v>2371</v>
      </c>
      <c r="F383" s="252" t="s">
        <v>43</v>
      </c>
      <c r="G383" s="253" t="s">
        <v>89</v>
      </c>
      <c r="H383" s="254">
        <v>0</v>
      </c>
      <c r="I383" s="257" t="s">
        <v>739</v>
      </c>
      <c r="J383" s="257" t="s">
        <v>740</v>
      </c>
      <c r="K383" s="255" t="s">
        <v>741</v>
      </c>
    </row>
    <row r="384" spans="1:17" ht="12.75" customHeight="1" x14ac:dyDescent="0.25">
      <c r="A384" s="249">
        <v>38921</v>
      </c>
      <c r="B384" s="250" t="s">
        <v>2469</v>
      </c>
      <c r="C384" s="264" t="s">
        <v>2467</v>
      </c>
      <c r="D384" s="257" t="s">
        <v>2470</v>
      </c>
      <c r="E384" s="257" t="s">
        <v>2371</v>
      </c>
      <c r="F384" s="252" t="s">
        <v>49</v>
      </c>
      <c r="G384" s="253" t="s">
        <v>2471</v>
      </c>
      <c r="H384" s="254">
        <v>0</v>
      </c>
      <c r="I384" s="257" t="s">
        <v>739</v>
      </c>
      <c r="J384" s="257" t="s">
        <v>740</v>
      </c>
      <c r="K384" s="255" t="s">
        <v>741</v>
      </c>
    </row>
    <row r="385" spans="1:17" ht="12.75" customHeight="1" x14ac:dyDescent="0.25">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5">
      <c r="A386" s="249">
        <v>38920</v>
      </c>
      <c r="B386" s="250" t="s">
        <v>2472</v>
      </c>
      <c r="C386" s="264" t="s">
        <v>2473</v>
      </c>
      <c r="D386" s="257" t="s">
        <v>379</v>
      </c>
      <c r="E386" s="257" t="s">
        <v>2371</v>
      </c>
      <c r="F386" s="252" t="s">
        <v>43</v>
      </c>
      <c r="G386" s="253" t="s">
        <v>2048</v>
      </c>
      <c r="H386" s="254">
        <v>0</v>
      </c>
      <c r="I386" s="257" t="s">
        <v>739</v>
      </c>
      <c r="J386" s="257" t="s">
        <v>740</v>
      </c>
      <c r="K386" s="255" t="s">
        <v>741</v>
      </c>
    </row>
    <row r="387" spans="1:17" s="279" customFormat="1" ht="12.75" customHeight="1" x14ac:dyDescent="0.3">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5">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3">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3">
      <c r="A390" s="249">
        <v>38871</v>
      </c>
      <c r="B390" s="250" t="s">
        <v>2474</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3">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3">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3">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3">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3">
      <c r="A395" s="249">
        <v>38923</v>
      </c>
      <c r="B395" s="250" t="s">
        <v>2475</v>
      </c>
      <c r="C395" s="264" t="s">
        <v>2476</v>
      </c>
      <c r="D395" s="257" t="s">
        <v>2104</v>
      </c>
      <c r="E395" s="257" t="s">
        <v>2371</v>
      </c>
      <c r="F395" s="252" t="s">
        <v>49</v>
      </c>
      <c r="G395" s="253" t="s">
        <v>773</v>
      </c>
      <c r="H395" s="254">
        <v>0</v>
      </c>
      <c r="I395" s="257" t="s">
        <v>739</v>
      </c>
      <c r="J395" s="257" t="s">
        <v>740</v>
      </c>
      <c r="K395" s="255" t="s">
        <v>741</v>
      </c>
    </row>
    <row r="396" spans="1:17" ht="12.75" customHeight="1" x14ac:dyDescent="0.25">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5">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5">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5">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5">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5">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5">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5">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5">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5">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5">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5">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5">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5">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5">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5">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5">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5">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5">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5">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5">
      <c r="A416" s="249">
        <v>38878</v>
      </c>
      <c r="B416" s="250" t="s">
        <v>2477</v>
      </c>
      <c r="C416" s="251" t="s">
        <v>668</v>
      </c>
      <c r="D416" s="251" t="s">
        <v>1605</v>
      </c>
      <c r="E416" s="251"/>
      <c r="F416" s="252" t="s">
        <v>43</v>
      </c>
      <c r="G416" s="253" t="s">
        <v>44</v>
      </c>
      <c r="H416" s="254">
        <v>0</v>
      </c>
      <c r="I416" s="251" t="s">
        <v>801</v>
      </c>
      <c r="J416" s="251" t="s">
        <v>18</v>
      </c>
      <c r="K416" s="255" t="s">
        <v>22</v>
      </c>
    </row>
    <row r="417" spans="1:17" ht="12.75" customHeight="1" x14ac:dyDescent="0.25">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5">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5">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5">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5">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5">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5">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5">
      <c r="A424" s="249">
        <v>38549</v>
      </c>
      <c r="B424" s="250" t="s">
        <v>844</v>
      </c>
      <c r="C424" s="257" t="s">
        <v>845</v>
      </c>
      <c r="D424" s="257" t="s">
        <v>97</v>
      </c>
      <c r="E424" s="257" t="s">
        <v>2371</v>
      </c>
      <c r="F424" s="252" t="s">
        <v>43</v>
      </c>
      <c r="G424" s="285" t="s">
        <v>52</v>
      </c>
      <c r="H424" s="286" t="s">
        <v>66</v>
      </c>
      <c r="I424" s="257" t="s">
        <v>2478</v>
      </c>
      <c r="J424" s="257" t="s">
        <v>18</v>
      </c>
      <c r="K424" s="255" t="s">
        <v>22</v>
      </c>
    </row>
    <row r="425" spans="1:17" ht="12.75" customHeight="1" x14ac:dyDescent="0.25">
      <c r="A425" s="249">
        <v>38746</v>
      </c>
      <c r="B425" s="250" t="s">
        <v>1980</v>
      </c>
      <c r="C425" s="251" t="s">
        <v>1981</v>
      </c>
      <c r="D425" s="251" t="s">
        <v>892</v>
      </c>
      <c r="E425" s="251"/>
      <c r="F425" s="252" t="s">
        <v>43</v>
      </c>
      <c r="G425" s="285" t="s">
        <v>94</v>
      </c>
      <c r="H425" s="286" t="s">
        <v>51</v>
      </c>
      <c r="I425" s="257" t="s">
        <v>2478</v>
      </c>
      <c r="J425" s="251" t="s">
        <v>18</v>
      </c>
      <c r="K425" s="255" t="s">
        <v>22</v>
      </c>
    </row>
    <row r="426" spans="1:17" ht="12.75" customHeight="1" x14ac:dyDescent="0.25">
      <c r="A426" s="249">
        <v>38593</v>
      </c>
      <c r="B426" s="250" t="s">
        <v>380</v>
      </c>
      <c r="C426" s="257" t="s">
        <v>378</v>
      </c>
      <c r="D426" s="257" t="s">
        <v>381</v>
      </c>
      <c r="E426" s="257" t="s">
        <v>2371</v>
      </c>
      <c r="F426" s="252" t="s">
        <v>43</v>
      </c>
      <c r="G426" s="285" t="s">
        <v>67</v>
      </c>
      <c r="H426" s="286" t="s">
        <v>45</v>
      </c>
      <c r="I426" s="257" t="s">
        <v>2478</v>
      </c>
      <c r="J426" s="257" t="s">
        <v>18</v>
      </c>
      <c r="K426" s="255" t="s">
        <v>22</v>
      </c>
    </row>
    <row r="427" spans="1:17" ht="12.75" customHeight="1" x14ac:dyDescent="0.25">
      <c r="A427" s="249">
        <v>38717</v>
      </c>
      <c r="B427" s="250" t="s">
        <v>1896</v>
      </c>
      <c r="C427" s="251" t="s">
        <v>643</v>
      </c>
      <c r="D427" s="251" t="s">
        <v>64</v>
      </c>
      <c r="E427" s="251"/>
      <c r="F427" s="252" t="s">
        <v>43</v>
      </c>
      <c r="G427" s="285" t="s">
        <v>44</v>
      </c>
      <c r="H427" s="286"/>
      <c r="I427" s="257" t="s">
        <v>2478</v>
      </c>
      <c r="J427" s="251" t="s">
        <v>18</v>
      </c>
      <c r="K427" s="255" t="s">
        <v>22</v>
      </c>
      <c r="L427" s="282"/>
      <c r="M427" s="282"/>
      <c r="N427" s="282"/>
      <c r="Q427" s="284"/>
    </row>
    <row r="428" spans="1:17" ht="12.75" customHeight="1" x14ac:dyDescent="0.25">
      <c r="A428" s="249">
        <v>38800</v>
      </c>
      <c r="B428" s="250" t="s">
        <v>2169</v>
      </c>
      <c r="C428" s="251" t="s">
        <v>2170</v>
      </c>
      <c r="D428" s="251" t="s">
        <v>711</v>
      </c>
      <c r="E428" s="251"/>
      <c r="F428" s="252" t="s">
        <v>43</v>
      </c>
      <c r="G428" s="285" t="s">
        <v>94</v>
      </c>
      <c r="H428" s="286" t="s">
        <v>45</v>
      </c>
      <c r="I428" s="257" t="s">
        <v>2478</v>
      </c>
      <c r="J428" s="251" t="s">
        <v>18</v>
      </c>
      <c r="K428" s="255" t="s">
        <v>22</v>
      </c>
    </row>
    <row r="429" spans="1:17" ht="12.75" customHeight="1" x14ac:dyDescent="0.25">
      <c r="A429" s="249">
        <v>38732</v>
      </c>
      <c r="B429" s="250" t="s">
        <v>1897</v>
      </c>
      <c r="C429" s="251" t="s">
        <v>1898</v>
      </c>
      <c r="D429" s="251" t="s">
        <v>53</v>
      </c>
      <c r="E429" s="251"/>
      <c r="F429" s="252" t="s">
        <v>43</v>
      </c>
      <c r="G429" s="285" t="s">
        <v>44</v>
      </c>
      <c r="H429" s="286" t="s">
        <v>180</v>
      </c>
      <c r="I429" s="257" t="s">
        <v>2478</v>
      </c>
      <c r="J429" s="251" t="s">
        <v>18</v>
      </c>
      <c r="K429" s="255" t="s">
        <v>22</v>
      </c>
    </row>
    <row r="430" spans="1:17" ht="12.75" customHeight="1" x14ac:dyDescent="0.25">
      <c r="A430" s="249">
        <v>38745</v>
      </c>
      <c r="B430" s="250" t="s">
        <v>1982</v>
      </c>
      <c r="C430" s="251" t="s">
        <v>1983</v>
      </c>
      <c r="D430" s="251" t="s">
        <v>179</v>
      </c>
      <c r="E430" s="251"/>
      <c r="F430" s="252" t="s">
        <v>43</v>
      </c>
      <c r="G430" s="285" t="s">
        <v>44</v>
      </c>
      <c r="H430" s="286" t="s">
        <v>180</v>
      </c>
      <c r="I430" s="257" t="s">
        <v>2478</v>
      </c>
      <c r="J430" s="251" t="s">
        <v>18</v>
      </c>
      <c r="K430" s="255" t="s">
        <v>22</v>
      </c>
    </row>
    <row r="431" spans="1:17" ht="12.75" customHeight="1" x14ac:dyDescent="0.25">
      <c r="A431" s="249">
        <v>38913</v>
      </c>
      <c r="B431" s="250" t="s">
        <v>2479</v>
      </c>
      <c r="C431" s="251" t="s">
        <v>2480</v>
      </c>
      <c r="D431" s="251" t="s">
        <v>720</v>
      </c>
      <c r="E431" s="251"/>
      <c r="F431" s="252" t="s">
        <v>49</v>
      </c>
      <c r="G431" s="253" t="s">
        <v>340</v>
      </c>
      <c r="H431" s="254">
        <v>0</v>
      </c>
      <c r="I431" s="257" t="s">
        <v>2478</v>
      </c>
      <c r="J431" s="251" t="s">
        <v>18</v>
      </c>
      <c r="K431" s="255" t="s">
        <v>22</v>
      </c>
      <c r="L431" s="282"/>
      <c r="M431" s="282"/>
      <c r="N431" s="282"/>
      <c r="Q431" s="284"/>
    </row>
    <row r="432" spans="1:17" ht="12.75" customHeight="1" x14ac:dyDescent="0.25">
      <c r="A432" s="249">
        <v>38747</v>
      </c>
      <c r="B432" s="250" t="s">
        <v>1984</v>
      </c>
      <c r="C432" s="251" t="s">
        <v>1985</v>
      </c>
      <c r="D432" s="251" t="s">
        <v>191</v>
      </c>
      <c r="E432" s="251"/>
      <c r="F432" s="252" t="s">
        <v>43</v>
      </c>
      <c r="G432" s="285" t="s">
        <v>94</v>
      </c>
      <c r="H432" s="286" t="s">
        <v>45</v>
      </c>
      <c r="I432" s="257" t="s">
        <v>2478</v>
      </c>
      <c r="J432" s="251" t="s">
        <v>18</v>
      </c>
      <c r="K432" s="255" t="s">
        <v>22</v>
      </c>
    </row>
    <row r="433" spans="1:17" ht="12.75" customHeight="1" x14ac:dyDescent="0.25">
      <c r="A433" s="249">
        <v>15911</v>
      </c>
      <c r="B433" s="250" t="s">
        <v>105</v>
      </c>
      <c r="C433" s="251" t="s">
        <v>106</v>
      </c>
      <c r="D433" s="251" t="s">
        <v>107</v>
      </c>
      <c r="E433" s="251"/>
      <c r="F433" s="252" t="s">
        <v>43</v>
      </c>
      <c r="G433" s="285" t="s">
        <v>52</v>
      </c>
      <c r="H433" s="286" t="s">
        <v>66</v>
      </c>
      <c r="I433" s="257" t="s">
        <v>2478</v>
      </c>
      <c r="J433" s="251" t="s">
        <v>18</v>
      </c>
      <c r="K433" s="255" t="s">
        <v>22</v>
      </c>
    </row>
    <row r="434" spans="1:17" ht="12.75" customHeight="1" x14ac:dyDescent="0.25">
      <c r="A434" s="249" t="s">
        <v>2481</v>
      </c>
      <c r="B434" s="250" t="s">
        <v>890</v>
      </c>
      <c r="C434" s="251" t="s">
        <v>891</v>
      </c>
      <c r="D434" s="251" t="s">
        <v>64</v>
      </c>
      <c r="E434" s="251"/>
      <c r="F434" s="252" t="s">
        <v>43</v>
      </c>
      <c r="G434" s="285" t="s">
        <v>67</v>
      </c>
      <c r="H434" s="286" t="s">
        <v>66</v>
      </c>
      <c r="I434" s="257" t="s">
        <v>2478</v>
      </c>
      <c r="J434" s="251" t="s">
        <v>18</v>
      </c>
      <c r="K434" s="255" t="s">
        <v>22</v>
      </c>
    </row>
    <row r="435" spans="1:17" ht="12.75" customHeight="1" x14ac:dyDescent="0.25">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5">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5">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5">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5">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5">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5">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5">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5">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5">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5">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5">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5">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5">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5">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5">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5">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5">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5">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5">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5">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5">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5">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5">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5">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5">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5">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5">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5">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5">
      <c r="A464" s="249">
        <v>38914</v>
      </c>
      <c r="B464" s="250" t="s">
        <v>2482</v>
      </c>
      <c r="C464" s="251" t="s">
        <v>2108</v>
      </c>
      <c r="D464" s="251" t="s">
        <v>99</v>
      </c>
      <c r="E464" s="251"/>
      <c r="F464" s="252" t="s">
        <v>43</v>
      </c>
      <c r="G464" s="253" t="s">
        <v>44</v>
      </c>
      <c r="H464" s="254">
        <v>0</v>
      </c>
      <c r="I464" s="251" t="s">
        <v>893</v>
      </c>
      <c r="J464" s="251" t="s">
        <v>18</v>
      </c>
      <c r="K464" s="255" t="s">
        <v>22</v>
      </c>
    </row>
    <row r="465" spans="1:17" ht="12.75" customHeight="1" x14ac:dyDescent="0.25">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5">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5">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5">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5">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5">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5">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5">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5">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5">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5">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5">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5">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5">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5">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5">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5">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5">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5">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5">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5">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5">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5">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5">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5">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5">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5">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5">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5">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5">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5">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5">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5">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5">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5">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5">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5">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5">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5">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5">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5">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5">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5">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5">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5">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5">
      <c r="A510" s="249">
        <v>38905</v>
      </c>
      <c r="B510" s="250" t="s">
        <v>2483</v>
      </c>
      <c r="C510" s="251" t="s">
        <v>2484</v>
      </c>
      <c r="D510" s="251" t="s">
        <v>2485</v>
      </c>
      <c r="E510" s="251"/>
      <c r="F510" s="252" t="s">
        <v>49</v>
      </c>
      <c r="G510" s="285" t="s">
        <v>773</v>
      </c>
      <c r="H510" s="286"/>
      <c r="I510" s="251" t="s">
        <v>966</v>
      </c>
      <c r="J510" s="251" t="s">
        <v>967</v>
      </c>
      <c r="K510" s="255" t="s">
        <v>968</v>
      </c>
    </row>
    <row r="511" spans="1:17" ht="12.75" customHeight="1" x14ac:dyDescent="0.25">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5">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5">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5">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5">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5">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5">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5">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5">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5">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5">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5">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5">
      <c r="A523" s="249">
        <v>38917</v>
      </c>
      <c r="B523" s="250" t="s">
        <v>2486</v>
      </c>
      <c r="C523" s="251" t="s">
        <v>1007</v>
      </c>
      <c r="D523" s="251" t="s">
        <v>1648</v>
      </c>
      <c r="E523" s="251"/>
      <c r="F523" s="252" t="s">
        <v>43</v>
      </c>
      <c r="G523" s="285" t="s">
        <v>94</v>
      </c>
      <c r="H523" s="286">
        <v>0</v>
      </c>
      <c r="I523" s="251" t="s">
        <v>997</v>
      </c>
      <c r="J523" s="251" t="s">
        <v>15</v>
      </c>
      <c r="K523" s="255" t="s">
        <v>26</v>
      </c>
    </row>
    <row r="524" spans="1:17" ht="12.75" customHeight="1" x14ac:dyDescent="0.25">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5">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5">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5">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5">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5">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5">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5">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5">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5">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5">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5">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5">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5">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5">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5">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5">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5">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5">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5">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5">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5">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5">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5">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5">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5">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5">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5">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5">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5">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5">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5">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5">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5">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5">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5">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5">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5">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3">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5">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5">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5">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5">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5">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5">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5">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5">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5">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5">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5">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5">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5">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5">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5">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5">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5">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5">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5">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5">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5">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5">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5">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5">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5">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5">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5">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5">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5">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5">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5">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5">
      <c r="A594" s="249">
        <v>8843</v>
      </c>
      <c r="B594" s="250" t="s">
        <v>2487</v>
      </c>
      <c r="C594" s="251" t="s">
        <v>2488</v>
      </c>
      <c r="D594" s="251" t="s">
        <v>2489</v>
      </c>
      <c r="E594" s="251"/>
      <c r="F594" s="252" t="s">
        <v>49</v>
      </c>
      <c r="G594" s="253" t="s">
        <v>79</v>
      </c>
      <c r="H594" s="254" t="s">
        <v>239</v>
      </c>
      <c r="I594" s="251" t="s">
        <v>1107</v>
      </c>
      <c r="J594" s="251" t="s">
        <v>1038</v>
      </c>
      <c r="K594" s="255" t="s">
        <v>1039</v>
      </c>
      <c r="L594" s="282"/>
      <c r="M594" s="282"/>
      <c r="N594" s="282"/>
      <c r="Q594" s="284"/>
    </row>
    <row r="595" spans="1:17" ht="12.75" customHeight="1" x14ac:dyDescent="0.25">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5">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5">
      <c r="A597" s="249">
        <v>27004</v>
      </c>
      <c r="B597" s="250" t="s">
        <v>2490</v>
      </c>
      <c r="C597" s="251" t="s">
        <v>1659</v>
      </c>
      <c r="D597" s="251" t="s">
        <v>720</v>
      </c>
      <c r="E597" s="251"/>
      <c r="F597" s="252" t="s">
        <v>49</v>
      </c>
      <c r="G597" s="258" t="s">
        <v>79</v>
      </c>
      <c r="H597" s="259" t="s">
        <v>180</v>
      </c>
      <c r="I597" s="251" t="s">
        <v>1107</v>
      </c>
      <c r="J597" s="251" t="s">
        <v>1038</v>
      </c>
      <c r="K597" s="255" t="s">
        <v>1039</v>
      </c>
    </row>
    <row r="598" spans="1:17" ht="12.75" customHeight="1" x14ac:dyDescent="0.25">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5">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5">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5">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5">
      <c r="A602" s="249">
        <v>7868</v>
      </c>
      <c r="B602" s="250" t="s">
        <v>2491</v>
      </c>
      <c r="C602" s="251" t="s">
        <v>2492</v>
      </c>
      <c r="D602" s="251" t="s">
        <v>64</v>
      </c>
      <c r="E602" s="251"/>
      <c r="F602" s="252" t="s">
        <v>43</v>
      </c>
      <c r="G602" s="258" t="s">
        <v>67</v>
      </c>
      <c r="H602" s="259">
        <v>0</v>
      </c>
      <c r="I602" s="251" t="s">
        <v>1121</v>
      </c>
      <c r="J602" s="251" t="s">
        <v>1038</v>
      </c>
      <c r="K602" s="255" t="s">
        <v>1039</v>
      </c>
    </row>
    <row r="603" spans="1:17" ht="12.75" customHeight="1" x14ac:dyDescent="0.25">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5">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5">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5">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5">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5">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5">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5">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5">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5">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5">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5">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5">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5">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5">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5">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5">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5">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5">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5">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5">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5">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5">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5">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5">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5">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5">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5">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5">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5">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5">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5">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5">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5">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5">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5">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5">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5">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3">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5">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5">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5">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5">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3">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5">
      <c r="A647" s="249">
        <v>38916</v>
      </c>
      <c r="B647" s="250" t="s">
        <v>2493</v>
      </c>
      <c r="C647" s="251" t="s">
        <v>600</v>
      </c>
      <c r="D647" s="251" t="s">
        <v>2494</v>
      </c>
      <c r="E647" s="251"/>
      <c r="F647" s="252" t="s">
        <v>43</v>
      </c>
      <c r="G647" s="285" t="s">
        <v>67</v>
      </c>
      <c r="H647" s="286">
        <v>0</v>
      </c>
      <c r="I647" s="251" t="s">
        <v>1149</v>
      </c>
      <c r="J647" s="251" t="s">
        <v>1150</v>
      </c>
      <c r="K647" s="255" t="s">
        <v>1151</v>
      </c>
    </row>
    <row r="648" spans="1:17" ht="12.75" customHeight="1" x14ac:dyDescent="0.25">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5">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5">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5">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5">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5">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5">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5">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5">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5">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3">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5">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5">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5">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5">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5">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5">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5">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5">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5">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5">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5">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5">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5">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5">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5">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5">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5">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5">
      <c r="A676" s="249">
        <v>38918</v>
      </c>
      <c r="B676" s="250" t="s">
        <v>2495</v>
      </c>
      <c r="C676" s="251" t="s">
        <v>2496</v>
      </c>
      <c r="D676" s="251" t="s">
        <v>827</v>
      </c>
      <c r="E676" s="251"/>
      <c r="F676" s="252" t="s">
        <v>43</v>
      </c>
      <c r="G676" s="253" t="s">
        <v>44</v>
      </c>
      <c r="H676" s="254">
        <v>0</v>
      </c>
      <c r="I676" s="251" t="s">
        <v>1205</v>
      </c>
      <c r="J676" s="251" t="s">
        <v>1174</v>
      </c>
      <c r="K676" s="255" t="s">
        <v>1175</v>
      </c>
    </row>
    <row r="677" spans="1:11" ht="12.75" customHeight="1" x14ac:dyDescent="0.25">
      <c r="A677" s="249">
        <v>38910</v>
      </c>
      <c r="B677" s="250" t="s">
        <v>2497</v>
      </c>
      <c r="C677" s="251" t="s">
        <v>2496</v>
      </c>
      <c r="D677" s="251" t="s">
        <v>2498</v>
      </c>
      <c r="E677" s="251"/>
      <c r="F677" s="252" t="s">
        <v>49</v>
      </c>
      <c r="G677" s="253" t="s">
        <v>773</v>
      </c>
      <c r="H677" s="254">
        <v>0</v>
      </c>
      <c r="I677" s="251" t="s">
        <v>1205</v>
      </c>
      <c r="J677" s="251" t="s">
        <v>1174</v>
      </c>
      <c r="K677" s="255" t="s">
        <v>1175</v>
      </c>
    </row>
    <row r="678" spans="1:11" ht="12.75" customHeight="1" x14ac:dyDescent="0.25">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5">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5">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5">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5">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5">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5">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5">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5">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5">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5">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5">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5">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5">
      <c r="A691" s="249">
        <v>25778</v>
      </c>
      <c r="B691" s="250" t="s">
        <v>2499</v>
      </c>
      <c r="C691" s="251" t="s">
        <v>1691</v>
      </c>
      <c r="D691" s="251" t="s">
        <v>107</v>
      </c>
      <c r="E691" s="251"/>
      <c r="F691" s="252" t="s">
        <v>43</v>
      </c>
      <c r="G691" s="285" t="s">
        <v>67</v>
      </c>
      <c r="H691" s="286" t="s">
        <v>66</v>
      </c>
      <c r="I691" s="251" t="s">
        <v>1205</v>
      </c>
      <c r="J691" s="251" t="s">
        <v>1174</v>
      </c>
      <c r="K691" s="255" t="s">
        <v>1175</v>
      </c>
    </row>
    <row r="692" spans="1:11" ht="12.75" customHeight="1" x14ac:dyDescent="0.25">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5">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5">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5">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5">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5">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5">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5">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5">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5">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5">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5">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5">
      <c r="A704" s="249">
        <v>41008</v>
      </c>
      <c r="B704" s="250" t="s">
        <v>2500</v>
      </c>
      <c r="C704" s="251" t="s">
        <v>2501</v>
      </c>
      <c r="D704" s="251" t="s">
        <v>282</v>
      </c>
      <c r="E704" s="251"/>
      <c r="F704" s="252" t="s">
        <v>43</v>
      </c>
      <c r="G704" s="253" t="s">
        <v>44</v>
      </c>
      <c r="H704" s="254" t="s">
        <v>66</v>
      </c>
      <c r="I704" s="251" t="s">
        <v>1205</v>
      </c>
      <c r="J704" s="251" t="s">
        <v>1174</v>
      </c>
      <c r="K704" s="255" t="s">
        <v>1175</v>
      </c>
    </row>
    <row r="705" spans="1:17" ht="12.75" customHeight="1" x14ac:dyDescent="0.25">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5">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5">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5">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5">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5">
      <c r="A710" s="249">
        <v>38904</v>
      </c>
      <c r="B710" s="250" t="s">
        <v>2502</v>
      </c>
      <c r="C710" s="251" t="s">
        <v>501</v>
      </c>
      <c r="D710" s="251" t="s">
        <v>2503</v>
      </c>
      <c r="E710" s="251"/>
      <c r="F710" s="252" t="s">
        <v>43</v>
      </c>
      <c r="G710" s="253" t="s">
        <v>2048</v>
      </c>
      <c r="H710" s="254">
        <v>0</v>
      </c>
      <c r="I710" s="251" t="s">
        <v>1205</v>
      </c>
      <c r="J710" s="251" t="s">
        <v>1174</v>
      </c>
      <c r="K710" s="255" t="s">
        <v>1175</v>
      </c>
      <c r="L710" s="282"/>
      <c r="M710" s="282"/>
      <c r="N710" s="282"/>
      <c r="Q710" s="284"/>
    </row>
    <row r="711" spans="1:17" ht="12.75" customHeight="1" x14ac:dyDescent="0.25">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5">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5">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5">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5">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5">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5">
      <c r="A717" s="249">
        <v>38787</v>
      </c>
      <c r="B717" s="250" t="s">
        <v>2504</v>
      </c>
      <c r="C717" s="251" t="s">
        <v>2505</v>
      </c>
      <c r="D717" s="251" t="s">
        <v>195</v>
      </c>
      <c r="E717" s="251"/>
      <c r="F717" s="252" t="s">
        <v>43</v>
      </c>
      <c r="G717" s="253" t="s">
        <v>44</v>
      </c>
      <c r="H717" s="254">
        <v>0</v>
      </c>
      <c r="I717" s="251" t="s">
        <v>1205</v>
      </c>
      <c r="J717" s="251" t="s">
        <v>1174</v>
      </c>
      <c r="K717" s="255" t="s">
        <v>1175</v>
      </c>
    </row>
    <row r="718" spans="1:17" ht="12.75" customHeight="1" x14ac:dyDescent="0.25">
      <c r="A718" s="249">
        <v>7087</v>
      </c>
      <c r="B718" s="250" t="s">
        <v>2506</v>
      </c>
      <c r="C718" s="251" t="s">
        <v>908</v>
      </c>
      <c r="D718" s="251" t="s">
        <v>1255</v>
      </c>
      <c r="E718" s="251"/>
      <c r="F718" s="252" t="s">
        <v>49</v>
      </c>
      <c r="G718" s="285" t="s">
        <v>50</v>
      </c>
      <c r="H718" s="286" t="s">
        <v>180</v>
      </c>
      <c r="I718" s="251" t="s">
        <v>1256</v>
      </c>
      <c r="J718" s="251" t="s">
        <v>1174</v>
      </c>
      <c r="K718" s="255" t="s">
        <v>1175</v>
      </c>
    </row>
    <row r="719" spans="1:17" ht="12.75" customHeight="1" x14ac:dyDescent="0.25">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5">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5">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5">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5">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5">
      <c r="A724" s="249">
        <v>7546</v>
      </c>
      <c r="B724" s="250" t="s">
        <v>2507</v>
      </c>
      <c r="C724" s="251" t="s">
        <v>1270</v>
      </c>
      <c r="D724" s="251" t="s">
        <v>1271</v>
      </c>
      <c r="E724" s="251"/>
      <c r="F724" s="252" t="s">
        <v>49</v>
      </c>
      <c r="G724" s="285" t="s">
        <v>228</v>
      </c>
      <c r="H724" s="286" t="s">
        <v>66</v>
      </c>
      <c r="I724" s="251" t="s">
        <v>1256</v>
      </c>
      <c r="J724" s="251" t="s">
        <v>1174</v>
      </c>
      <c r="K724" s="255" t="s">
        <v>1175</v>
      </c>
    </row>
    <row r="725" spans="1:17" ht="12.75" customHeight="1" x14ac:dyDescent="0.25">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5">
      <c r="A726" s="249">
        <v>21185</v>
      </c>
      <c r="B726" s="250" t="s">
        <v>2508</v>
      </c>
      <c r="C726" s="251" t="s">
        <v>2501</v>
      </c>
      <c r="D726" s="251" t="s">
        <v>230</v>
      </c>
      <c r="E726" s="251"/>
      <c r="F726" s="252" t="s">
        <v>49</v>
      </c>
      <c r="G726" s="260" t="s">
        <v>50</v>
      </c>
      <c r="H726" s="254" t="s">
        <v>45</v>
      </c>
      <c r="I726" s="251" t="s">
        <v>1256</v>
      </c>
      <c r="J726" s="251" t="s">
        <v>1174</v>
      </c>
      <c r="K726" s="255" t="s">
        <v>1175</v>
      </c>
    </row>
    <row r="727" spans="1:17" ht="12.75" customHeight="1" x14ac:dyDescent="0.25">
      <c r="A727" s="249">
        <v>7551</v>
      </c>
      <c r="B727" s="250" t="s">
        <v>2509</v>
      </c>
      <c r="C727" s="251" t="s">
        <v>1278</v>
      </c>
      <c r="D727" s="251" t="s">
        <v>318</v>
      </c>
      <c r="E727" s="251"/>
      <c r="F727" s="252" t="s">
        <v>49</v>
      </c>
      <c r="G727" s="285" t="s">
        <v>50</v>
      </c>
      <c r="H727" s="286" t="s">
        <v>66</v>
      </c>
      <c r="I727" s="251" t="s">
        <v>1256</v>
      </c>
      <c r="J727" s="251" t="s">
        <v>1174</v>
      </c>
      <c r="K727" s="255" t="s">
        <v>1175</v>
      </c>
    </row>
    <row r="728" spans="1:17" ht="12.75" customHeight="1" x14ac:dyDescent="0.25">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5">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5">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5">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5">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5">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5">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5">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5">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5">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5">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5">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5">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5">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5">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5">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5">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5">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5">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5">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5">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5">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5">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5">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5">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5">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5">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5">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5">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5">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5">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5">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5">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5">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5">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5">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5">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5">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5">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5">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5">
      <c r="A768" s="249">
        <v>38903</v>
      </c>
      <c r="B768" s="250" t="s">
        <v>2510</v>
      </c>
      <c r="C768" s="257" t="s">
        <v>2511</v>
      </c>
      <c r="D768" s="257" t="s">
        <v>534</v>
      </c>
      <c r="E768" s="257" t="s">
        <v>2371</v>
      </c>
      <c r="F768" s="252" t="s">
        <v>49</v>
      </c>
      <c r="G768" s="258" t="s">
        <v>340</v>
      </c>
      <c r="H768" s="259">
        <v>0</v>
      </c>
      <c r="I768" s="257" t="s">
        <v>1326</v>
      </c>
      <c r="J768" s="257" t="s">
        <v>1327</v>
      </c>
      <c r="K768" s="255" t="s">
        <v>1328</v>
      </c>
    </row>
    <row r="769" spans="1:17" ht="12.75" customHeight="1" x14ac:dyDescent="0.25">
      <c r="A769" s="249">
        <v>25833</v>
      </c>
      <c r="B769" s="250" t="s">
        <v>2512</v>
      </c>
      <c r="C769" s="251" t="s">
        <v>2511</v>
      </c>
      <c r="D769" s="251" t="s">
        <v>529</v>
      </c>
      <c r="E769" s="251"/>
      <c r="F769" s="252" t="s">
        <v>43</v>
      </c>
      <c r="G769" s="285" t="s">
        <v>67</v>
      </c>
      <c r="H769" s="286" t="s">
        <v>45</v>
      </c>
      <c r="I769" s="251" t="s">
        <v>1326</v>
      </c>
      <c r="J769" s="251" t="s">
        <v>1327</v>
      </c>
      <c r="K769" s="255" t="s">
        <v>1328</v>
      </c>
    </row>
    <row r="770" spans="1:17" ht="12.75" customHeight="1" x14ac:dyDescent="0.25">
      <c r="A770" s="249">
        <v>25466</v>
      </c>
      <c r="B770" s="250" t="s">
        <v>2513</v>
      </c>
      <c r="C770" s="257" t="s">
        <v>2511</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5">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5">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5">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5">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5">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5">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5">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5">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5">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5">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5">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5">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5">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5">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5">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5">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5">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5">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5">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5">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5">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5">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5">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5">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5">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5">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5">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5">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5">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5">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5">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5">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5">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5">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5">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5">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5">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5">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5">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5">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5">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5">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5">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5">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5">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5">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5">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5">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5">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5">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5">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5">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5">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5">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5">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5">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5">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5">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5">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5">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5">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3">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3">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3">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3">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3">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5">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3">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5">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5">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5">
      <c r="A841" s="249">
        <v>3234</v>
      </c>
      <c r="B841" s="250" t="s">
        <v>2514</v>
      </c>
      <c r="C841" s="257" t="s">
        <v>69</v>
      </c>
      <c r="D841" s="257" t="s">
        <v>238</v>
      </c>
      <c r="E841" s="257" t="s">
        <v>2371</v>
      </c>
      <c r="F841" s="252" t="s">
        <v>43</v>
      </c>
      <c r="G841" s="253" t="s">
        <v>52</v>
      </c>
      <c r="H841" s="254" t="s">
        <v>51</v>
      </c>
      <c r="I841" s="257" t="s">
        <v>1444</v>
      </c>
      <c r="J841" s="257" t="s">
        <v>1358</v>
      </c>
      <c r="K841" s="255" t="s">
        <v>27</v>
      </c>
    </row>
    <row r="842" spans="1:17" ht="12.75" customHeight="1" x14ac:dyDescent="0.25">
      <c r="A842" s="249">
        <v>3233</v>
      </c>
      <c r="B842" s="250" t="s">
        <v>2515</v>
      </c>
      <c r="C842" s="257" t="s">
        <v>69</v>
      </c>
      <c r="D842" s="257" t="s">
        <v>1440</v>
      </c>
      <c r="E842" s="257" t="s">
        <v>2371</v>
      </c>
      <c r="F842" s="252" t="s">
        <v>49</v>
      </c>
      <c r="G842" s="253" t="s">
        <v>50</v>
      </c>
      <c r="H842" s="254" t="s">
        <v>45</v>
      </c>
      <c r="I842" s="257" t="s">
        <v>1444</v>
      </c>
      <c r="J842" s="257" t="s">
        <v>1358</v>
      </c>
      <c r="K842" s="255" t="s">
        <v>27</v>
      </c>
    </row>
    <row r="843" spans="1:17" ht="12.75" customHeight="1" x14ac:dyDescent="0.25">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5">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5">
      <c r="A845" s="249">
        <v>38743</v>
      </c>
      <c r="B845" s="250" t="s">
        <v>2516</v>
      </c>
      <c r="C845" s="257" t="s">
        <v>295</v>
      </c>
      <c r="D845" s="257" t="s">
        <v>2517</v>
      </c>
      <c r="E845" s="257" t="s">
        <v>2371</v>
      </c>
      <c r="F845" s="252" t="s">
        <v>49</v>
      </c>
      <c r="G845" s="253" t="s">
        <v>79</v>
      </c>
      <c r="H845" s="254">
        <v>0</v>
      </c>
      <c r="I845" s="257" t="s">
        <v>1444</v>
      </c>
      <c r="J845" s="257" t="s">
        <v>1358</v>
      </c>
      <c r="K845" s="255" t="s">
        <v>27</v>
      </c>
    </row>
    <row r="846" spans="1:17" ht="12.75" customHeight="1" x14ac:dyDescent="0.25">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5">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5">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5">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5">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5">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5">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5">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5">
      <c r="A854" s="249">
        <v>16270</v>
      </c>
      <c r="B854" s="250" t="s">
        <v>2518</v>
      </c>
      <c r="C854" s="251" t="s">
        <v>2519</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5">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5">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5">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5">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5">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5">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5">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5">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5">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5">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5">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5">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5">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5">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5">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5">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5">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5">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5">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5">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5">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5">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5">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5">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5">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3">
      <c r="A880" s="291">
        <v>7502</v>
      </c>
      <c r="B880" s="292" t="s">
        <v>2520</v>
      </c>
      <c r="C880" s="293" t="s">
        <v>2521</v>
      </c>
      <c r="D880" s="293" t="s">
        <v>99</v>
      </c>
      <c r="E880" s="293"/>
      <c r="F880" s="294" t="s">
        <v>43</v>
      </c>
      <c r="G880" s="285" t="s">
        <v>67</v>
      </c>
      <c r="H880" s="295">
        <v>0</v>
      </c>
      <c r="I880" s="293" t="s">
        <v>1507</v>
      </c>
      <c r="J880" s="293" t="s">
        <v>1358</v>
      </c>
      <c r="K880" s="255" t="s">
        <v>27</v>
      </c>
    </row>
    <row r="881" spans="1:17" ht="12.75" customHeight="1" x14ac:dyDescent="0.25">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5">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5">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5">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5">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5">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5">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5">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5">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5">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5">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5">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5">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5">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5">
      <c r="A895" s="249">
        <v>38929</v>
      </c>
      <c r="B895" s="250" t="s">
        <v>2522</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5">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5">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5">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5">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5">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5">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5">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5">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5">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5">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5">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5">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5">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5">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5">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5">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5">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5">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5">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5">
      <c r="A915" s="249">
        <v>38928</v>
      </c>
      <c r="B915" s="250" t="s">
        <v>2523</v>
      </c>
      <c r="C915" s="257" t="s">
        <v>2362</v>
      </c>
      <c r="D915" s="257" t="s">
        <v>1269</v>
      </c>
      <c r="E915" s="257" t="s">
        <v>2371</v>
      </c>
      <c r="F915" s="252" t="s">
        <v>49</v>
      </c>
      <c r="G915" s="253" t="s">
        <v>139</v>
      </c>
      <c r="H915" s="254">
        <v>0</v>
      </c>
      <c r="I915" s="257" t="s">
        <v>1570</v>
      </c>
      <c r="J915" s="257" t="s">
        <v>1358</v>
      </c>
      <c r="K915" s="255" t="s">
        <v>27</v>
      </c>
    </row>
    <row r="916" spans="1:17" ht="12.75" customHeight="1" x14ac:dyDescent="0.25">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5">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5">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5">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5">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5">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5">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5">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5">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5">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5">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5">
      <c r="A927" s="249">
        <v>16679</v>
      </c>
      <c r="B927" s="250" t="s">
        <v>2524</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5">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5">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5">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5">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5">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5">
      <c r="A933" s="249">
        <v>38792</v>
      </c>
      <c r="B933" s="250" t="s">
        <v>2525</v>
      </c>
      <c r="C933" s="251" t="s">
        <v>1607</v>
      </c>
      <c r="D933" s="251" t="s">
        <v>90</v>
      </c>
      <c r="E933" s="251"/>
      <c r="F933" s="252" t="s">
        <v>43</v>
      </c>
      <c r="G933" s="258" t="s">
        <v>67</v>
      </c>
      <c r="H933" s="259">
        <v>0</v>
      </c>
      <c r="I933" s="251" t="s">
        <v>1592</v>
      </c>
      <c r="J933" s="251" t="s">
        <v>1358</v>
      </c>
      <c r="K933" s="255" t="s">
        <v>27</v>
      </c>
    </row>
    <row r="934" spans="1:17" ht="12.75" customHeight="1" x14ac:dyDescent="0.25">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5">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5">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5">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5">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5">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5">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5">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5">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5">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5">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5">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5">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5">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5">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5">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5">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5">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5">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5">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5">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5">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5">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5">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5">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5">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5">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5">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5">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5">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5">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5">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5">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5">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5">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5">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5">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5">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5">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5">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5">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5">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5">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5">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5">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5">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5">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5">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5">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5">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5">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5">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5">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5">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5">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5">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5">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5">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5">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5">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5">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5">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5">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5">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5">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5">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5">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5">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5">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5">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5">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5">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5">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5">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5">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5">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5">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5">
      <c r="A1011" s="249">
        <v>38919</v>
      </c>
      <c r="B1011" s="250" t="s">
        <v>2526</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5">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5">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5">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5">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5">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5">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5">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5">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5">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5">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5">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5">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5">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5">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5">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5">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5">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5">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5">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5">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5">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5">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5">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5">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5">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5">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5">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5">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5">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5">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5">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5">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5">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5">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5">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5">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5">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5">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5">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5">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5">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5">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5">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5">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5">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5">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5">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5">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5">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5">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5">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5">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5">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5">
      <c r="A1065" s="249"/>
      <c r="B1065" s="250"/>
      <c r="C1065" s="251"/>
      <c r="D1065" s="251"/>
      <c r="E1065" s="251"/>
      <c r="F1065" s="252"/>
      <c r="G1065" s="253"/>
      <c r="H1065" s="254"/>
      <c r="I1065" s="251"/>
      <c r="J1065" s="251"/>
      <c r="K1065" s="255"/>
    </row>
    <row r="1066" spans="1:17" ht="12.75" customHeight="1" x14ac:dyDescent="0.25">
      <c r="A1066" s="249"/>
      <c r="B1066" s="250"/>
      <c r="C1066" s="257"/>
      <c r="D1066" s="257"/>
      <c r="E1066" s="257"/>
      <c r="F1066" s="252"/>
      <c r="G1066" s="253"/>
      <c r="H1066" s="254"/>
      <c r="I1066" s="257"/>
      <c r="J1066" s="257"/>
      <c r="K1066" s="255"/>
    </row>
    <row r="1067" spans="1:17" ht="12.75" customHeight="1" x14ac:dyDescent="0.25">
      <c r="A1067" s="249"/>
      <c r="B1067" s="250"/>
      <c r="C1067" s="251"/>
      <c r="D1067" s="251"/>
      <c r="E1067" s="251"/>
      <c r="F1067" s="252"/>
      <c r="G1067" s="260"/>
      <c r="H1067" s="261"/>
      <c r="I1067" s="251"/>
      <c r="J1067" s="251"/>
      <c r="K1067" s="255"/>
    </row>
    <row r="1068" spans="1:17" ht="12.75" customHeight="1" x14ac:dyDescent="0.25">
      <c r="A1068" s="249"/>
      <c r="B1068" s="250"/>
      <c r="C1068" s="257"/>
      <c r="D1068" s="257"/>
      <c r="E1068" s="257"/>
      <c r="F1068" s="252"/>
      <c r="G1068" s="253"/>
      <c r="H1068" s="254"/>
      <c r="I1068" s="257"/>
      <c r="J1068" s="257"/>
      <c r="K1068" s="255"/>
    </row>
    <row r="1069" spans="1:17" ht="12.75" customHeight="1" x14ac:dyDescent="0.25">
      <c r="A1069" s="249"/>
      <c r="B1069" s="250"/>
      <c r="C1069" s="257"/>
      <c r="D1069" s="257"/>
      <c r="E1069" s="257"/>
      <c r="F1069" s="252"/>
      <c r="G1069" s="253"/>
      <c r="H1069" s="254"/>
      <c r="I1069" s="257"/>
      <c r="J1069" s="257"/>
      <c r="K1069" s="255"/>
    </row>
    <row r="1070" spans="1:17" ht="12.75" customHeight="1" x14ac:dyDescent="0.25">
      <c r="A1070" s="249"/>
      <c r="B1070" s="250"/>
      <c r="C1070" s="251"/>
      <c r="D1070" s="251"/>
      <c r="E1070" s="251"/>
      <c r="F1070" s="252"/>
      <c r="G1070" s="253"/>
      <c r="H1070" s="254"/>
      <c r="I1070" s="251"/>
      <c r="J1070" s="251"/>
      <c r="K1070" s="255"/>
    </row>
    <row r="1071" spans="1:17" ht="12.75" customHeight="1" x14ac:dyDescent="0.25">
      <c r="A1071" s="249"/>
      <c r="B1071" s="250"/>
      <c r="C1071" s="251"/>
      <c r="D1071" s="251"/>
      <c r="E1071" s="251"/>
      <c r="F1071" s="252"/>
      <c r="G1071" s="253"/>
      <c r="H1071" s="254"/>
      <c r="I1071" s="251"/>
      <c r="J1071" s="251"/>
      <c r="K1071" s="255"/>
    </row>
    <row r="1072" spans="1:17" ht="12.75" customHeight="1" x14ac:dyDescent="0.25">
      <c r="A1072" s="249"/>
      <c r="B1072" s="250"/>
      <c r="C1072" s="257"/>
      <c r="D1072" s="257"/>
      <c r="E1072" s="257"/>
      <c r="F1072" s="252"/>
      <c r="G1072" s="253"/>
      <c r="H1072" s="254"/>
      <c r="I1072" s="257"/>
      <c r="J1072" s="257"/>
      <c r="K1072" s="255"/>
    </row>
    <row r="1073" spans="1:17" ht="12.75" customHeight="1" x14ac:dyDescent="0.25">
      <c r="A1073" s="249"/>
      <c r="B1073" s="250"/>
      <c r="C1073" s="251"/>
      <c r="D1073" s="251"/>
      <c r="E1073" s="251"/>
      <c r="F1073" s="252"/>
      <c r="G1073" s="258"/>
      <c r="H1073" s="259"/>
      <c r="I1073" s="251"/>
      <c r="J1073" s="251"/>
      <c r="K1073" s="255"/>
    </row>
    <row r="1074" spans="1:17" ht="12.75" customHeight="1" x14ac:dyDescent="0.25">
      <c r="A1074" s="249"/>
      <c r="B1074" s="250"/>
      <c r="C1074" s="251"/>
      <c r="D1074" s="251"/>
      <c r="E1074" s="251"/>
      <c r="F1074" s="252"/>
      <c r="G1074" s="258"/>
      <c r="H1074" s="259"/>
      <c r="I1074" s="251"/>
      <c r="J1074" s="251"/>
      <c r="K1074" s="255"/>
      <c r="L1074" s="282"/>
      <c r="M1074" s="282"/>
      <c r="N1074" s="282"/>
      <c r="Q1074" s="284"/>
    </row>
    <row r="1075" spans="1:17" ht="12.75" customHeight="1" x14ac:dyDescent="0.25">
      <c r="A1075" s="249"/>
      <c r="B1075" s="250"/>
      <c r="C1075" s="251"/>
      <c r="D1075" s="251"/>
      <c r="E1075" s="251"/>
      <c r="F1075" s="252"/>
      <c r="G1075" s="258"/>
      <c r="H1075" s="259"/>
      <c r="I1075" s="251"/>
      <c r="J1075" s="251"/>
      <c r="K1075" s="255"/>
      <c r="L1075" s="282"/>
      <c r="M1075" s="282"/>
      <c r="N1075" s="282"/>
      <c r="Q1075" s="284"/>
    </row>
    <row r="1076" spans="1:17" ht="12.75" customHeight="1" x14ac:dyDescent="0.25">
      <c r="A1076" s="249"/>
      <c r="B1076" s="250"/>
      <c r="C1076" s="257"/>
      <c r="D1076" s="257"/>
      <c r="E1076" s="257"/>
      <c r="F1076" s="252"/>
      <c r="G1076" s="253"/>
      <c r="H1076" s="254"/>
      <c r="I1076" s="257"/>
      <c r="J1076" s="257"/>
      <c r="K1076" s="255"/>
    </row>
    <row r="1077" spans="1:17" ht="12.75" customHeight="1" x14ac:dyDescent="0.25">
      <c r="A1077" s="249"/>
      <c r="B1077" s="250"/>
      <c r="C1077" s="257"/>
      <c r="D1077" s="257"/>
      <c r="E1077" s="257"/>
      <c r="F1077" s="252"/>
      <c r="G1077" s="253"/>
      <c r="H1077" s="254"/>
      <c r="I1077" s="257"/>
      <c r="J1077" s="257"/>
      <c r="K1077" s="255"/>
    </row>
    <row r="1078" spans="1:17" ht="12.75" customHeight="1" x14ac:dyDescent="0.25">
      <c r="A1078" s="249"/>
      <c r="B1078" s="250"/>
      <c r="C1078" s="251"/>
      <c r="D1078" s="251"/>
      <c r="E1078" s="251"/>
      <c r="F1078" s="252"/>
      <c r="G1078" s="253"/>
      <c r="H1078" s="254"/>
      <c r="I1078" s="251"/>
      <c r="J1078" s="251"/>
      <c r="K1078" s="255"/>
    </row>
    <row r="1079" spans="1:17" ht="12.75" customHeight="1" x14ac:dyDescent="0.25">
      <c r="A1079" s="249"/>
      <c r="B1079" s="250"/>
      <c r="C1079" s="257"/>
      <c r="D1079" s="257"/>
      <c r="E1079" s="257"/>
      <c r="F1079" s="252"/>
      <c r="G1079" s="253"/>
      <c r="H1079" s="254"/>
      <c r="I1079" s="257"/>
      <c r="J1079" s="257"/>
      <c r="K1079" s="255"/>
      <c r="L1079" s="282"/>
      <c r="M1079" s="282"/>
      <c r="N1079" s="282"/>
      <c r="Q1079" s="284"/>
    </row>
    <row r="1080" spans="1:17" ht="12.75" customHeight="1" x14ac:dyDescent="0.25">
      <c r="A1080" s="249"/>
      <c r="B1080" s="250"/>
      <c r="C1080" s="251"/>
      <c r="D1080" s="251"/>
      <c r="E1080" s="251"/>
      <c r="F1080" s="252"/>
      <c r="G1080" s="258"/>
      <c r="H1080" s="259"/>
      <c r="I1080" s="251"/>
      <c r="J1080" s="251"/>
      <c r="K1080" s="255"/>
      <c r="L1080" s="282"/>
      <c r="M1080" s="282"/>
      <c r="N1080" s="282"/>
      <c r="Q1080" s="284"/>
    </row>
    <row r="1081" spans="1:17" ht="12.75" customHeight="1" x14ac:dyDescent="0.25">
      <c r="A1081" s="249"/>
      <c r="B1081" s="250"/>
      <c r="C1081" s="251"/>
      <c r="D1081" s="251"/>
      <c r="E1081" s="251"/>
      <c r="F1081" s="252"/>
      <c r="G1081" s="258"/>
      <c r="H1081" s="259"/>
      <c r="I1081" s="251"/>
      <c r="J1081" s="251"/>
      <c r="K1081" s="255"/>
    </row>
    <row r="1082" spans="1:17" ht="12.75" customHeight="1" x14ac:dyDescent="0.25">
      <c r="A1082" s="249"/>
      <c r="B1082" s="250"/>
      <c r="C1082" s="251"/>
      <c r="D1082" s="251"/>
      <c r="E1082" s="251"/>
      <c r="F1082" s="252"/>
      <c r="G1082" s="258"/>
      <c r="H1082" s="259"/>
      <c r="I1082" s="251"/>
      <c r="J1082" s="251"/>
      <c r="K1082" s="255"/>
    </row>
    <row r="1083" spans="1:17" ht="12.75" customHeight="1" x14ac:dyDescent="0.25">
      <c r="A1083" s="249"/>
      <c r="B1083" s="250"/>
      <c r="C1083" s="257"/>
      <c r="D1083" s="257"/>
      <c r="E1083" s="257"/>
      <c r="F1083" s="252"/>
      <c r="G1083" s="253"/>
      <c r="H1083" s="254"/>
      <c r="I1083" s="257"/>
      <c r="J1083" s="257"/>
      <c r="K1083" s="255"/>
    </row>
    <row r="1084" spans="1:17" ht="12.75" customHeight="1" x14ac:dyDescent="0.25">
      <c r="A1084" s="249"/>
      <c r="B1084" s="250"/>
      <c r="C1084" s="251"/>
      <c r="D1084" s="251"/>
      <c r="E1084" s="251"/>
      <c r="F1084" s="252"/>
      <c r="G1084" s="253"/>
      <c r="H1084" s="254"/>
      <c r="I1084" s="251"/>
      <c r="J1084" s="251"/>
      <c r="K1084" s="255"/>
    </row>
    <row r="1085" spans="1:17" ht="12.75" customHeight="1" x14ac:dyDescent="0.25">
      <c r="A1085" s="249"/>
      <c r="B1085" s="250"/>
      <c r="C1085" s="251"/>
      <c r="D1085" s="251"/>
      <c r="E1085" s="251"/>
      <c r="F1085" s="252"/>
      <c r="G1085" s="253"/>
      <c r="H1085" s="254"/>
      <c r="I1085" s="251"/>
      <c r="J1085" s="251"/>
      <c r="K1085" s="255"/>
    </row>
    <row r="1086" spans="1:17" ht="12.75" customHeight="1" x14ac:dyDescent="0.25">
      <c r="A1086" s="249"/>
      <c r="B1086" s="250"/>
      <c r="C1086" s="251"/>
      <c r="D1086" s="251"/>
      <c r="E1086" s="251"/>
      <c r="F1086" s="252"/>
      <c r="G1086" s="258"/>
      <c r="H1086" s="259"/>
      <c r="I1086" s="251"/>
      <c r="J1086" s="251"/>
      <c r="K1086" s="255"/>
    </row>
    <row r="1087" spans="1:17" ht="12.75" customHeight="1" x14ac:dyDescent="0.25">
      <c r="A1087" s="249"/>
      <c r="B1087" s="250"/>
      <c r="C1087" s="251"/>
      <c r="D1087" s="251"/>
      <c r="E1087" s="251"/>
      <c r="F1087" s="252"/>
      <c r="G1087" s="258"/>
      <c r="H1087" s="259"/>
      <c r="I1087" s="251"/>
      <c r="J1087" s="251"/>
      <c r="K1087" s="255"/>
    </row>
    <row r="1088" spans="1:17" ht="12.75" customHeight="1" x14ac:dyDescent="0.25">
      <c r="A1088" s="249"/>
      <c r="B1088" s="250"/>
      <c r="C1088" s="251"/>
      <c r="D1088" s="251"/>
      <c r="E1088" s="251"/>
      <c r="F1088" s="252"/>
      <c r="G1088" s="258"/>
      <c r="H1088" s="259"/>
      <c r="I1088" s="251"/>
      <c r="J1088" s="251"/>
      <c r="K1088" s="255"/>
    </row>
    <row r="1089" spans="1:17" ht="12.75" customHeight="1" x14ac:dyDescent="0.25">
      <c r="A1089" s="249"/>
      <c r="B1089" s="250"/>
      <c r="C1089" s="251"/>
      <c r="D1089" s="251"/>
      <c r="E1089" s="251"/>
      <c r="F1089" s="252"/>
      <c r="G1089" s="260"/>
      <c r="H1089" s="261"/>
      <c r="I1089" s="251"/>
      <c r="J1089" s="251"/>
      <c r="K1089" s="255"/>
    </row>
    <row r="1090" spans="1:17" ht="12.75" customHeight="1" x14ac:dyDescent="0.25">
      <c r="A1090" s="249"/>
      <c r="B1090" s="250"/>
      <c r="C1090" s="251"/>
      <c r="D1090" s="251"/>
      <c r="E1090" s="251"/>
      <c r="F1090" s="252"/>
      <c r="G1090" s="253"/>
      <c r="H1090" s="254"/>
      <c r="I1090" s="251"/>
      <c r="J1090" s="251"/>
      <c r="K1090" s="255"/>
    </row>
    <row r="1091" spans="1:17" ht="12.75" customHeight="1" x14ac:dyDescent="0.25">
      <c r="A1091" s="249"/>
      <c r="B1091" s="250"/>
      <c r="C1091" s="251"/>
      <c r="D1091" s="251"/>
      <c r="E1091" s="251"/>
      <c r="F1091" s="252"/>
      <c r="G1091" s="253"/>
      <c r="H1091" s="254"/>
      <c r="I1091" s="251"/>
      <c r="J1091" s="251"/>
      <c r="K1091" s="255"/>
    </row>
    <row r="1092" spans="1:17" ht="12.75" customHeight="1" x14ac:dyDescent="0.25">
      <c r="A1092" s="249"/>
      <c r="B1092" s="250"/>
      <c r="C1092" s="251"/>
      <c r="D1092" s="251"/>
      <c r="E1092" s="251"/>
      <c r="F1092" s="252"/>
      <c r="G1092" s="253"/>
      <c r="H1092" s="254"/>
      <c r="I1092" s="251"/>
      <c r="J1092" s="251"/>
      <c r="K1092" s="255"/>
    </row>
    <row r="1093" spans="1:17" ht="12.75" customHeight="1" x14ac:dyDescent="0.25">
      <c r="A1093" s="249"/>
      <c r="B1093" s="250"/>
      <c r="C1093" s="251"/>
      <c r="D1093" s="251"/>
      <c r="E1093" s="251"/>
      <c r="F1093" s="252"/>
      <c r="G1093" s="253"/>
      <c r="H1093" s="254"/>
      <c r="I1093" s="251"/>
      <c r="J1093" s="251"/>
      <c r="K1093" s="255"/>
      <c r="L1093" s="282"/>
      <c r="M1093" s="282"/>
      <c r="N1093" s="282"/>
      <c r="Q1093" s="284"/>
    </row>
    <row r="1094" spans="1:17" ht="12.75" customHeight="1" x14ac:dyDescent="0.25">
      <c r="A1094" s="249"/>
      <c r="B1094" s="250"/>
      <c r="C1094" s="251"/>
      <c r="D1094" s="251"/>
      <c r="E1094" s="251"/>
      <c r="F1094" s="252"/>
      <c r="G1094" s="253"/>
      <c r="H1094" s="254"/>
      <c r="I1094" s="251"/>
      <c r="J1094" s="251"/>
      <c r="K1094" s="255"/>
    </row>
    <row r="1095" spans="1:17" ht="12.75" customHeight="1" x14ac:dyDescent="0.25">
      <c r="A1095" s="249"/>
      <c r="B1095" s="250"/>
      <c r="C1095" s="251"/>
      <c r="D1095" s="251"/>
      <c r="E1095" s="251"/>
      <c r="F1095" s="252"/>
      <c r="G1095" s="253"/>
      <c r="H1095" s="254"/>
      <c r="I1095" s="251"/>
      <c r="J1095" s="251"/>
      <c r="K1095" s="255"/>
    </row>
    <row r="1096" spans="1:17" ht="12.75" customHeight="1" x14ac:dyDescent="0.25">
      <c r="A1096" s="249"/>
      <c r="B1096" s="250"/>
      <c r="C1096" s="251"/>
      <c r="D1096" s="251"/>
      <c r="E1096" s="251"/>
      <c r="F1096" s="252"/>
      <c r="G1096" s="253"/>
      <c r="H1096" s="254"/>
      <c r="I1096" s="251"/>
      <c r="J1096" s="251"/>
      <c r="K1096" s="255"/>
      <c r="L1096" s="282"/>
      <c r="M1096" s="282"/>
      <c r="N1096" s="282"/>
      <c r="Q1096" s="284"/>
    </row>
    <row r="1097" spans="1:17" ht="12.75" customHeight="1" x14ac:dyDescent="0.25">
      <c r="A1097" s="249"/>
      <c r="B1097" s="250"/>
      <c r="C1097" s="251"/>
      <c r="D1097" s="251"/>
      <c r="E1097" s="251"/>
      <c r="F1097" s="252"/>
      <c r="G1097" s="253"/>
      <c r="H1097" s="254"/>
      <c r="I1097" s="251"/>
      <c r="J1097" s="251"/>
      <c r="K1097" s="255"/>
    </row>
    <row r="1098" spans="1:17" ht="12" x14ac:dyDescent="0.25">
      <c r="A1098" s="249"/>
      <c r="B1098" s="250"/>
      <c r="C1098" s="251"/>
      <c r="D1098" s="251"/>
      <c r="E1098" s="251"/>
      <c r="F1098" s="252"/>
      <c r="G1098" s="253"/>
      <c r="H1098" s="254"/>
      <c r="I1098" s="251"/>
      <c r="J1098" s="251"/>
      <c r="K1098" s="255"/>
    </row>
    <row r="1099" spans="1:17" ht="12" x14ac:dyDescent="0.25">
      <c r="A1099" s="249"/>
      <c r="B1099" s="250"/>
      <c r="C1099" s="251"/>
      <c r="D1099" s="251"/>
      <c r="E1099" s="251"/>
      <c r="F1099" s="252"/>
      <c r="G1099" s="253"/>
      <c r="H1099" s="254"/>
      <c r="I1099" s="251"/>
      <c r="J1099" s="251"/>
      <c r="K1099" s="255"/>
    </row>
    <row r="1100" spans="1:17" ht="12" x14ac:dyDescent="0.25">
      <c r="A1100" s="249"/>
      <c r="B1100" s="250"/>
      <c r="C1100" s="251"/>
      <c r="D1100" s="251"/>
      <c r="E1100" s="251"/>
      <c r="F1100" s="252"/>
      <c r="G1100" s="253"/>
      <c r="H1100" s="254"/>
      <c r="I1100" s="251"/>
      <c r="J1100" s="251"/>
      <c r="K1100" s="255"/>
      <c r="L1100" s="282"/>
      <c r="M1100" s="282"/>
      <c r="N1100" s="282"/>
      <c r="Q1100" s="284"/>
    </row>
    <row r="1101" spans="1:17" ht="12" x14ac:dyDescent="0.25">
      <c r="A1101" s="249"/>
      <c r="B1101" s="250"/>
      <c r="C1101" s="251"/>
      <c r="D1101" s="251"/>
      <c r="E1101" s="251"/>
      <c r="F1101" s="252"/>
      <c r="G1101" s="253"/>
      <c r="H1101" s="254"/>
      <c r="I1101" s="251"/>
      <c r="J1101" s="251"/>
      <c r="K1101" s="255"/>
      <c r="L1101" s="282"/>
      <c r="M1101" s="282"/>
      <c r="N1101" s="282"/>
      <c r="Q1101" s="284"/>
    </row>
    <row r="1102" spans="1:17" ht="12" x14ac:dyDescent="0.25">
      <c r="A1102" s="249"/>
      <c r="B1102" s="250"/>
      <c r="C1102" s="257"/>
      <c r="D1102" s="257"/>
      <c r="E1102" s="257"/>
      <c r="F1102" s="252"/>
      <c r="G1102" s="253"/>
      <c r="H1102" s="254"/>
      <c r="I1102" s="257"/>
      <c r="J1102" s="257"/>
      <c r="K1102" s="255"/>
    </row>
    <row r="1103" spans="1:17" ht="12" x14ac:dyDescent="0.25">
      <c r="A1103" s="249"/>
      <c r="B1103" s="250"/>
      <c r="C1103" s="251"/>
      <c r="D1103" s="251"/>
      <c r="E1103" s="251"/>
      <c r="F1103" s="252"/>
      <c r="G1103" s="258"/>
      <c r="H1103" s="259"/>
      <c r="I1103" s="251"/>
      <c r="J1103" s="251"/>
      <c r="K1103" s="255"/>
      <c r="L1103" s="282"/>
      <c r="M1103" s="282"/>
      <c r="N1103" s="282"/>
      <c r="Q1103" s="284"/>
    </row>
    <row r="1104" spans="1:17" ht="12" x14ac:dyDescent="0.25">
      <c r="A1104" s="249"/>
      <c r="B1104" s="250"/>
      <c r="C1104" s="251"/>
      <c r="D1104" s="251"/>
      <c r="E1104" s="251"/>
      <c r="F1104" s="252"/>
      <c r="G1104" s="253"/>
      <c r="H1104" s="254"/>
      <c r="I1104" s="251"/>
      <c r="J1104" s="251"/>
      <c r="K1104" s="255"/>
      <c r="L1104" s="282"/>
      <c r="M1104" s="282"/>
      <c r="N1104" s="282"/>
      <c r="Q1104" s="284"/>
    </row>
    <row r="1105" spans="1:17" ht="12" x14ac:dyDescent="0.25">
      <c r="A1105" s="249"/>
      <c r="B1105" s="250"/>
      <c r="C1105" s="251"/>
      <c r="D1105" s="251"/>
      <c r="E1105" s="251"/>
      <c r="F1105" s="252"/>
      <c r="G1105" s="253"/>
      <c r="H1105" s="254"/>
      <c r="I1105" s="251"/>
      <c r="J1105" s="251"/>
      <c r="K1105" s="255"/>
      <c r="L1105" s="282"/>
      <c r="M1105" s="282"/>
      <c r="N1105" s="282"/>
      <c r="Q1105" s="284"/>
    </row>
    <row r="1106" spans="1:17" ht="12" x14ac:dyDescent="0.25">
      <c r="A1106" s="249"/>
      <c r="B1106" s="250"/>
      <c r="C1106" s="251"/>
      <c r="D1106" s="251"/>
      <c r="E1106" s="251"/>
      <c r="F1106" s="252"/>
      <c r="G1106" s="253"/>
      <c r="H1106" s="254"/>
      <c r="I1106" s="251"/>
      <c r="J1106" s="251"/>
      <c r="K1106" s="255"/>
      <c r="L1106" s="282"/>
      <c r="M1106" s="282"/>
      <c r="N1106" s="282"/>
      <c r="Q1106" s="284"/>
    </row>
    <row r="1107" spans="1:17" ht="12" x14ac:dyDescent="0.25">
      <c r="A1107" s="249"/>
      <c r="B1107" s="250"/>
      <c r="C1107" s="251"/>
      <c r="D1107" s="251"/>
      <c r="E1107" s="251"/>
      <c r="F1107" s="252"/>
      <c r="G1107" s="258"/>
      <c r="H1107" s="259"/>
      <c r="I1107" s="251"/>
      <c r="J1107" s="251"/>
      <c r="K1107" s="255"/>
    </row>
    <row r="1108" spans="1:17" ht="12" x14ac:dyDescent="0.25">
      <c r="A1108" s="249"/>
      <c r="B1108" s="250"/>
      <c r="C1108" s="251"/>
      <c r="D1108" s="251"/>
      <c r="E1108" s="251"/>
      <c r="F1108" s="252"/>
      <c r="G1108" s="253"/>
      <c r="H1108" s="254"/>
      <c r="I1108" s="251"/>
      <c r="J1108" s="251"/>
      <c r="K1108" s="255"/>
    </row>
    <row r="1109" spans="1:17" ht="12" x14ac:dyDescent="0.25">
      <c r="A1109" s="249"/>
      <c r="B1109" s="250"/>
      <c r="C1109" s="251"/>
      <c r="D1109" s="251"/>
      <c r="E1109" s="251"/>
      <c r="F1109" s="252"/>
      <c r="G1109" s="258"/>
      <c r="H1109" s="259"/>
      <c r="I1109" s="251"/>
      <c r="J1109" s="251"/>
      <c r="K1109" s="255"/>
    </row>
    <row r="1110" spans="1:17" ht="12" x14ac:dyDescent="0.25">
      <c r="A1110" s="249"/>
      <c r="B1110" s="250"/>
      <c r="C1110" s="251"/>
      <c r="D1110" s="251"/>
      <c r="E1110" s="251"/>
      <c r="F1110" s="252"/>
      <c r="G1110" s="258"/>
      <c r="H1110" s="259"/>
      <c r="I1110" s="251"/>
      <c r="J1110" s="251"/>
      <c r="K1110" s="255"/>
    </row>
    <row r="1111" spans="1:17" ht="12" x14ac:dyDescent="0.25">
      <c r="A1111" s="249"/>
      <c r="B1111" s="250"/>
      <c r="C1111" s="257"/>
      <c r="D1111" s="257"/>
      <c r="E1111" s="257"/>
      <c r="F1111" s="252"/>
      <c r="G1111" s="253"/>
      <c r="H1111" s="254"/>
      <c r="I1111" s="257"/>
      <c r="J1111" s="257"/>
      <c r="K1111" s="255"/>
    </row>
    <row r="1112" spans="1:17" ht="12" x14ac:dyDescent="0.25">
      <c r="A1112" s="249"/>
      <c r="B1112" s="250"/>
      <c r="C1112" s="257"/>
      <c r="D1112" s="257"/>
      <c r="E1112" s="257"/>
      <c r="F1112" s="252"/>
      <c r="G1112" s="253"/>
      <c r="H1112" s="254"/>
      <c r="I1112" s="257"/>
      <c r="J1112" s="257"/>
      <c r="K1112" s="255"/>
    </row>
    <row r="1113" spans="1:17" ht="12" x14ac:dyDescent="0.25">
      <c r="A1113" s="249"/>
      <c r="B1113" s="250"/>
      <c r="C1113" s="257"/>
      <c r="D1113" s="257"/>
      <c r="E1113" s="257"/>
      <c r="F1113" s="252"/>
      <c r="G1113" s="253"/>
      <c r="H1113" s="254"/>
      <c r="I1113" s="257"/>
      <c r="J1113" s="257"/>
      <c r="K1113" s="255"/>
    </row>
    <row r="1114" spans="1:17" ht="12" x14ac:dyDescent="0.25">
      <c r="A1114" s="249"/>
      <c r="B1114" s="250"/>
      <c r="C1114" s="257"/>
      <c r="D1114" s="257"/>
      <c r="E1114" s="257"/>
      <c r="F1114" s="252"/>
      <c r="G1114" s="253"/>
      <c r="H1114" s="254"/>
      <c r="I1114" s="257"/>
      <c r="J1114" s="257"/>
      <c r="K1114" s="255"/>
    </row>
    <row r="1115" spans="1:17" ht="12" x14ac:dyDescent="0.25">
      <c r="A1115" s="249"/>
      <c r="B1115" s="250"/>
      <c r="C1115" s="251"/>
      <c r="D1115" s="251"/>
      <c r="E1115" s="251"/>
      <c r="F1115" s="252"/>
      <c r="G1115" s="253"/>
      <c r="H1115" s="254"/>
      <c r="I1115" s="251"/>
      <c r="J1115" s="251"/>
      <c r="K1115" s="255"/>
    </row>
    <row r="1116" spans="1:17" ht="12" x14ac:dyDescent="0.25">
      <c r="A1116" s="249"/>
      <c r="B1116" s="250"/>
      <c r="C1116" s="251"/>
      <c r="D1116" s="251"/>
      <c r="E1116" s="251"/>
      <c r="F1116" s="252"/>
      <c r="G1116" s="253"/>
      <c r="H1116" s="254"/>
      <c r="I1116" s="251"/>
      <c r="J1116" s="251"/>
      <c r="K1116" s="255"/>
    </row>
    <row r="1117" spans="1:17" ht="12" x14ac:dyDescent="0.25">
      <c r="A1117" s="249"/>
      <c r="B1117" s="250"/>
      <c r="C1117" s="257"/>
      <c r="D1117" s="257"/>
      <c r="E1117" s="257"/>
      <c r="F1117" s="252"/>
      <c r="G1117" s="253"/>
      <c r="H1117" s="254"/>
      <c r="I1117" s="257"/>
      <c r="J1117" s="257"/>
      <c r="K1117" s="255"/>
    </row>
    <row r="1118" spans="1:17" ht="12" x14ac:dyDescent="0.25">
      <c r="A1118" s="249"/>
      <c r="B1118" s="250"/>
      <c r="C1118" s="257"/>
      <c r="D1118" s="257"/>
      <c r="E1118" s="257"/>
      <c r="F1118" s="252"/>
      <c r="G1118" s="253"/>
      <c r="H1118" s="254"/>
      <c r="I1118" s="257"/>
      <c r="J1118" s="257"/>
      <c r="K1118" s="255"/>
    </row>
    <row r="1119" spans="1:17" ht="12" x14ac:dyDescent="0.25">
      <c r="A1119" s="249"/>
      <c r="B1119" s="250"/>
      <c r="C1119" s="251"/>
      <c r="D1119" s="251"/>
      <c r="E1119" s="251"/>
      <c r="F1119" s="252"/>
      <c r="G1119" s="253"/>
      <c r="H1119" s="254"/>
      <c r="I1119" s="251"/>
      <c r="J1119" s="251"/>
      <c r="K1119" s="255"/>
    </row>
    <row r="1120" spans="1:17" ht="12" x14ac:dyDescent="0.25">
      <c r="A1120" s="249"/>
      <c r="B1120" s="250"/>
      <c r="C1120" s="257"/>
      <c r="D1120" s="257"/>
      <c r="E1120" s="257"/>
      <c r="F1120" s="252"/>
      <c r="G1120" s="253"/>
      <c r="H1120" s="254"/>
      <c r="I1120" s="257"/>
      <c r="J1120" s="257"/>
      <c r="K1120" s="255"/>
    </row>
    <row r="1121" spans="1:17" ht="12" x14ac:dyDescent="0.25">
      <c r="A1121" s="249"/>
      <c r="B1121" s="250"/>
      <c r="C1121" s="257"/>
      <c r="D1121" s="257"/>
      <c r="E1121" s="257"/>
      <c r="F1121" s="252"/>
      <c r="G1121" s="253"/>
      <c r="H1121" s="254"/>
      <c r="I1121" s="257"/>
      <c r="J1121" s="257"/>
      <c r="K1121" s="255"/>
    </row>
    <row r="1122" spans="1:17" ht="12" x14ac:dyDescent="0.25">
      <c r="A1122" s="249"/>
      <c r="B1122" s="250"/>
      <c r="C1122" s="257"/>
      <c r="D1122" s="257"/>
      <c r="E1122" s="257"/>
      <c r="F1122" s="252"/>
      <c r="G1122" s="253"/>
      <c r="H1122" s="254"/>
      <c r="I1122" s="257"/>
      <c r="J1122" s="257"/>
      <c r="K1122" s="255"/>
    </row>
    <row r="1123" spans="1:17" ht="12" x14ac:dyDescent="0.25">
      <c r="A1123" s="249"/>
      <c r="B1123" s="250"/>
      <c r="C1123" s="251"/>
      <c r="D1123" s="251"/>
      <c r="E1123" s="251"/>
      <c r="F1123" s="252"/>
      <c r="G1123" s="253"/>
      <c r="H1123" s="254"/>
      <c r="I1123" s="251"/>
      <c r="J1123" s="251"/>
      <c r="K1123" s="255"/>
      <c r="L1123" s="282"/>
      <c r="M1123" s="282"/>
      <c r="N1123" s="282"/>
      <c r="Q1123" s="284"/>
    </row>
    <row r="1124" spans="1:17" ht="12" x14ac:dyDescent="0.25">
      <c r="A1124" s="249"/>
      <c r="B1124" s="250"/>
      <c r="C1124" s="257"/>
      <c r="D1124" s="257"/>
      <c r="E1124" s="257"/>
      <c r="F1124" s="252"/>
      <c r="G1124" s="253"/>
      <c r="H1124" s="254"/>
      <c r="I1124" s="257"/>
      <c r="J1124" s="257"/>
      <c r="K1124" s="255"/>
    </row>
    <row r="1125" spans="1:17" ht="12" x14ac:dyDescent="0.25">
      <c r="A1125" s="249"/>
      <c r="B1125" s="250"/>
      <c r="C1125" s="257"/>
      <c r="D1125" s="257"/>
      <c r="E1125" s="257"/>
      <c r="F1125" s="252"/>
      <c r="G1125" s="253"/>
      <c r="H1125" s="254"/>
      <c r="I1125" s="257"/>
      <c r="J1125" s="257"/>
      <c r="K1125" s="255"/>
    </row>
    <row r="1126" spans="1:17" ht="12" x14ac:dyDescent="0.25">
      <c r="A1126" s="249"/>
      <c r="B1126" s="250"/>
      <c r="C1126" s="257"/>
      <c r="D1126" s="257"/>
      <c r="E1126" s="257"/>
      <c r="F1126" s="252"/>
      <c r="G1126" s="253"/>
      <c r="H1126" s="254"/>
      <c r="I1126" s="257"/>
      <c r="J1126" s="257"/>
      <c r="K1126" s="255"/>
      <c r="L1126" s="282"/>
      <c r="M1126" s="282"/>
      <c r="N1126" s="282"/>
      <c r="Q1126" s="284"/>
    </row>
    <row r="1127" spans="1:17" ht="12" x14ac:dyDescent="0.25">
      <c r="A1127" s="249"/>
      <c r="B1127" s="250"/>
      <c r="C1127" s="251"/>
      <c r="D1127" s="251"/>
      <c r="E1127" s="251"/>
      <c r="F1127" s="252"/>
      <c r="G1127" s="253"/>
      <c r="H1127" s="254"/>
      <c r="I1127" s="251"/>
      <c r="J1127" s="251"/>
      <c r="K1127" s="255"/>
      <c r="L1127" s="282"/>
      <c r="M1127" s="282"/>
      <c r="N1127" s="282"/>
      <c r="Q1127" s="284"/>
    </row>
    <row r="1128" spans="1:17" ht="12" x14ac:dyDescent="0.25">
      <c r="A1128" s="249"/>
      <c r="B1128" s="250"/>
      <c r="C1128" s="251"/>
      <c r="D1128" s="251"/>
      <c r="E1128" s="251"/>
      <c r="F1128" s="252"/>
      <c r="G1128" s="253"/>
      <c r="H1128" s="254"/>
      <c r="I1128" s="251"/>
      <c r="J1128" s="251"/>
      <c r="K1128" s="255"/>
    </row>
    <row r="1129" spans="1:17" ht="12" x14ac:dyDescent="0.25">
      <c r="A1129" s="249"/>
      <c r="B1129" s="250"/>
      <c r="C1129" s="257"/>
      <c r="D1129" s="257"/>
      <c r="E1129" s="257"/>
      <c r="F1129" s="252"/>
      <c r="G1129" s="253"/>
      <c r="H1129" s="254"/>
      <c r="I1129" s="257"/>
      <c r="J1129" s="257"/>
      <c r="K1129" s="255"/>
    </row>
    <row r="1130" spans="1:17" ht="12" x14ac:dyDescent="0.25">
      <c r="A1130" s="249"/>
      <c r="B1130" s="250"/>
      <c r="C1130" s="251"/>
      <c r="D1130" s="251"/>
      <c r="E1130" s="251"/>
      <c r="F1130" s="252"/>
      <c r="G1130" s="253"/>
      <c r="H1130" s="254"/>
      <c r="I1130" s="251"/>
      <c r="J1130" s="251"/>
      <c r="K1130" s="255"/>
    </row>
    <row r="1131" spans="1:17" ht="12" x14ac:dyDescent="0.25">
      <c r="A1131" s="249"/>
      <c r="B1131" s="250"/>
      <c r="C1131" s="251"/>
      <c r="D1131" s="251"/>
      <c r="E1131" s="251"/>
      <c r="F1131" s="252"/>
      <c r="G1131" s="253"/>
      <c r="H1131" s="254"/>
      <c r="I1131" s="251"/>
      <c r="J1131" s="251"/>
      <c r="K1131" s="255"/>
    </row>
    <row r="1132" spans="1:17" ht="12" x14ac:dyDescent="0.25">
      <c r="A1132" s="249"/>
      <c r="B1132" s="250"/>
      <c r="C1132" s="251"/>
      <c r="D1132" s="251"/>
      <c r="E1132" s="251"/>
      <c r="F1132" s="252"/>
      <c r="G1132" s="253"/>
      <c r="H1132" s="254"/>
      <c r="I1132" s="251"/>
      <c r="J1132" s="251"/>
      <c r="K1132" s="255"/>
    </row>
    <row r="1133" spans="1:17" ht="12" x14ac:dyDescent="0.25">
      <c r="A1133" s="249"/>
      <c r="B1133" s="250"/>
      <c r="C1133" s="251"/>
      <c r="D1133" s="251"/>
      <c r="E1133" s="251"/>
      <c r="F1133" s="252"/>
      <c r="G1133" s="253"/>
      <c r="H1133" s="254"/>
      <c r="I1133" s="251"/>
      <c r="J1133" s="251"/>
      <c r="K1133" s="255"/>
    </row>
    <row r="1134" spans="1:17" ht="12" x14ac:dyDescent="0.25">
      <c r="A1134" s="249"/>
      <c r="B1134" s="250"/>
      <c r="C1134" s="257"/>
      <c r="D1134" s="257"/>
      <c r="E1134" s="257"/>
      <c r="F1134" s="252"/>
      <c r="G1134" s="253"/>
      <c r="H1134" s="254"/>
      <c r="I1134" s="251"/>
      <c r="J1134" s="257"/>
      <c r="K1134" s="255"/>
    </row>
    <row r="1135" spans="1:17" ht="12" x14ac:dyDescent="0.25">
      <c r="A1135" s="249"/>
      <c r="B1135" s="250"/>
      <c r="C1135" s="251"/>
      <c r="D1135" s="251"/>
      <c r="E1135" s="251"/>
      <c r="F1135" s="252"/>
      <c r="G1135" s="260"/>
      <c r="H1135" s="261"/>
      <c r="I1135" s="251"/>
      <c r="J1135" s="251"/>
      <c r="K1135" s="255"/>
    </row>
    <row r="1136" spans="1:17" ht="11.25" customHeight="1" x14ac:dyDescent="0.25">
      <c r="A1136" s="249"/>
      <c r="B1136" s="250"/>
      <c r="C1136" s="251"/>
      <c r="D1136" s="251"/>
      <c r="E1136" s="251"/>
      <c r="F1136" s="252"/>
      <c r="G1136" s="253"/>
      <c r="H1136" s="254"/>
      <c r="I1136" s="251"/>
      <c r="J1136" s="251"/>
      <c r="K1136" s="255"/>
      <c r="L1136" s="282"/>
      <c r="M1136" s="282"/>
      <c r="N1136" s="282"/>
      <c r="Q1136" s="284"/>
    </row>
    <row r="1137" spans="1:17" ht="12" x14ac:dyDescent="0.25">
      <c r="A1137" s="249"/>
      <c r="B1137" s="250"/>
      <c r="C1137" s="251"/>
      <c r="D1137" s="251"/>
      <c r="E1137" s="251"/>
      <c r="F1137" s="252"/>
      <c r="G1137" s="253"/>
      <c r="H1137" s="254"/>
      <c r="I1137" s="251"/>
      <c r="J1137" s="251"/>
      <c r="K1137" s="255"/>
      <c r="L1137" s="282"/>
      <c r="M1137" s="282"/>
      <c r="N1137" s="282"/>
      <c r="Q1137" s="284"/>
    </row>
    <row r="1138" spans="1:17" ht="12" x14ac:dyDescent="0.25">
      <c r="A1138" s="249"/>
      <c r="B1138" s="250"/>
      <c r="C1138" s="251"/>
      <c r="D1138" s="251"/>
      <c r="E1138" s="251"/>
      <c r="F1138" s="252"/>
      <c r="G1138" s="253"/>
      <c r="H1138" s="254"/>
      <c r="I1138" s="251"/>
      <c r="J1138" s="251"/>
      <c r="K1138" s="255"/>
      <c r="L1138" s="282"/>
      <c r="M1138" s="282"/>
      <c r="N1138" s="282"/>
      <c r="Q1138" s="284"/>
    </row>
    <row r="1139" spans="1:17" ht="12" x14ac:dyDescent="0.25">
      <c r="A1139" s="249"/>
      <c r="B1139" s="250"/>
      <c r="C1139" s="251"/>
      <c r="D1139" s="251"/>
      <c r="E1139" s="251"/>
      <c r="F1139" s="252"/>
      <c r="G1139" s="253"/>
      <c r="H1139" s="254"/>
      <c r="I1139" s="251"/>
      <c r="J1139" s="251"/>
      <c r="K1139" s="255"/>
      <c r="L1139" s="282"/>
      <c r="M1139" s="282"/>
      <c r="N1139" s="282"/>
      <c r="Q1139" s="284"/>
    </row>
    <row r="1140" spans="1:17" ht="12" x14ac:dyDescent="0.25">
      <c r="A1140" s="249"/>
      <c r="B1140" s="250"/>
      <c r="C1140" s="257"/>
      <c r="D1140" s="257"/>
      <c r="E1140" s="257"/>
      <c r="F1140" s="252"/>
      <c r="G1140" s="253"/>
      <c r="H1140" s="254"/>
      <c r="I1140" s="251"/>
      <c r="J1140" s="257"/>
      <c r="K1140" s="255"/>
      <c r="L1140" s="282"/>
      <c r="M1140" s="282"/>
      <c r="N1140" s="282"/>
      <c r="Q1140" s="284"/>
    </row>
    <row r="1141" spans="1:17" ht="12" x14ac:dyDescent="0.25">
      <c r="A1141" s="249"/>
      <c r="B1141" s="250"/>
      <c r="C1141" s="251"/>
      <c r="D1141" s="251"/>
      <c r="E1141" s="251"/>
      <c r="F1141" s="252"/>
      <c r="G1141" s="253"/>
      <c r="H1141" s="254"/>
      <c r="I1141" s="251"/>
      <c r="J1141" s="251"/>
      <c r="K1141" s="255"/>
      <c r="L1141" s="282"/>
      <c r="M1141" s="282"/>
      <c r="N1141" s="282"/>
      <c r="Q1141" s="284"/>
    </row>
    <row r="1142" spans="1:17" ht="12" x14ac:dyDescent="0.25">
      <c r="A1142" s="249"/>
      <c r="B1142" s="250"/>
      <c r="C1142" s="257"/>
      <c r="D1142" s="257"/>
      <c r="E1142" s="257"/>
      <c r="F1142" s="252"/>
      <c r="G1142" s="253"/>
      <c r="H1142" s="254"/>
      <c r="I1142" s="257"/>
      <c r="J1142" s="257"/>
      <c r="K1142" s="255"/>
      <c r="L1142" s="282"/>
      <c r="M1142" s="282"/>
      <c r="N1142" s="282"/>
      <c r="Q1142" s="284"/>
    </row>
    <row r="1143" spans="1:17" ht="12" x14ac:dyDescent="0.25">
      <c r="A1143" s="249"/>
      <c r="B1143" s="250"/>
      <c r="C1143" s="251"/>
      <c r="D1143" s="251"/>
      <c r="E1143" s="251"/>
      <c r="F1143" s="252"/>
      <c r="G1143" s="253"/>
      <c r="H1143" s="254"/>
      <c r="I1143" s="251"/>
      <c r="J1143" s="251"/>
      <c r="K1143" s="255"/>
      <c r="L1143" s="282"/>
      <c r="M1143" s="282"/>
      <c r="N1143" s="282"/>
      <c r="Q1143" s="284"/>
    </row>
    <row r="1144" spans="1:17" ht="12" x14ac:dyDescent="0.25">
      <c r="A1144" s="249"/>
      <c r="B1144" s="250"/>
      <c r="C1144" s="251"/>
      <c r="D1144" s="251"/>
      <c r="E1144" s="251"/>
      <c r="F1144" s="252"/>
      <c r="G1144" s="253"/>
      <c r="H1144" s="254"/>
      <c r="I1144" s="251"/>
      <c r="J1144" s="251"/>
      <c r="K1144" s="255"/>
      <c r="L1144" s="282"/>
      <c r="M1144" s="282"/>
      <c r="N1144" s="282"/>
      <c r="Q1144" s="284"/>
    </row>
    <row r="1145" spans="1:17" ht="12" x14ac:dyDescent="0.25">
      <c r="A1145" s="249"/>
      <c r="B1145" s="250"/>
      <c r="C1145" s="257"/>
      <c r="D1145" s="257"/>
      <c r="E1145" s="257"/>
      <c r="F1145" s="252"/>
      <c r="G1145" s="253"/>
      <c r="H1145" s="254"/>
      <c r="I1145" s="257"/>
      <c r="J1145" s="257"/>
      <c r="K1145" s="255"/>
    </row>
    <row r="1146" spans="1:17" x14ac:dyDescent="0.3">
      <c r="A1146" s="269"/>
      <c r="B1146" s="198"/>
      <c r="C1146" s="199"/>
      <c r="D1146" s="199"/>
      <c r="E1146" s="199"/>
      <c r="F1146" s="200"/>
      <c r="G1146" s="270"/>
      <c r="H1146" s="271"/>
      <c r="I1146" s="199"/>
      <c r="J1146" s="199"/>
    </row>
    <row r="1147" spans="1:17" x14ac:dyDescent="0.3">
      <c r="A1147" s="269"/>
      <c r="B1147" s="198"/>
      <c r="C1147" s="272"/>
      <c r="D1147" s="272"/>
      <c r="E1147" s="272"/>
      <c r="F1147" s="200"/>
      <c r="G1147" s="270"/>
      <c r="H1147" s="271"/>
      <c r="I1147" s="272"/>
      <c r="J1147" s="272"/>
    </row>
    <row r="1148" spans="1:17" x14ac:dyDescent="0.3">
      <c r="A1148" s="269"/>
      <c r="B1148" s="198"/>
      <c r="C1148" s="199"/>
      <c r="D1148" s="199"/>
      <c r="E1148" s="199"/>
      <c r="F1148" s="200"/>
      <c r="G1148" s="270"/>
      <c r="H1148" s="271"/>
      <c r="I1148" s="199"/>
      <c r="J1148" s="199"/>
      <c r="L1148" s="282"/>
      <c r="M1148" s="282"/>
      <c r="N1148" s="282"/>
      <c r="Q1148" s="284"/>
    </row>
    <row r="1149" spans="1:17" x14ac:dyDescent="0.3">
      <c r="A1149" s="269"/>
      <c r="B1149" s="198"/>
      <c r="C1149" s="199"/>
      <c r="D1149" s="199"/>
      <c r="E1149" s="199"/>
      <c r="F1149" s="200"/>
      <c r="G1149" s="270"/>
      <c r="H1149" s="271"/>
      <c r="I1149" s="199"/>
      <c r="J1149" s="199"/>
    </row>
    <row r="1150" spans="1:17" x14ac:dyDescent="0.3">
      <c r="A1150" s="269"/>
      <c r="B1150" s="198"/>
      <c r="C1150" s="272"/>
      <c r="D1150" s="272"/>
      <c r="E1150" s="272"/>
      <c r="F1150" s="200"/>
      <c r="G1150" s="270"/>
      <c r="H1150" s="271"/>
      <c r="I1150" s="199"/>
      <c r="J1150" s="272"/>
      <c r="L1150" s="282"/>
      <c r="M1150" s="282"/>
      <c r="N1150" s="282"/>
      <c r="Q1150" s="284"/>
    </row>
    <row r="1151" spans="1:17" x14ac:dyDescent="0.3">
      <c r="A1151" s="269"/>
      <c r="B1151" s="198"/>
      <c r="C1151" s="199"/>
      <c r="D1151" s="199"/>
      <c r="E1151" s="199"/>
      <c r="F1151" s="200"/>
      <c r="G1151" s="270"/>
      <c r="H1151" s="271"/>
      <c r="I1151" s="199"/>
      <c r="J1151" s="199"/>
    </row>
    <row r="1152" spans="1:17" x14ac:dyDescent="0.3">
      <c r="A1152" s="269"/>
      <c r="B1152" s="198"/>
      <c r="C1152" s="199"/>
      <c r="D1152" s="199"/>
      <c r="E1152" s="199"/>
      <c r="F1152" s="200"/>
      <c r="G1152" s="270"/>
      <c r="H1152" s="271"/>
      <c r="I1152" s="199"/>
      <c r="J1152" s="199"/>
    </row>
    <row r="1153" spans="1:10" x14ac:dyDescent="0.3">
      <c r="A1153" s="269"/>
      <c r="B1153" s="198"/>
      <c r="C1153" s="272"/>
      <c r="D1153" s="272"/>
      <c r="E1153" s="272"/>
      <c r="F1153" s="200"/>
      <c r="G1153" s="270"/>
      <c r="H1153" s="271"/>
      <c r="I1153" s="199"/>
      <c r="J1153" s="272"/>
    </row>
    <row r="1154" spans="1:10" x14ac:dyDescent="0.3">
      <c r="A1154" s="269"/>
      <c r="B1154" s="198"/>
      <c r="C1154" s="199"/>
      <c r="D1154" s="199"/>
      <c r="E1154" s="199"/>
      <c r="F1154" s="200"/>
      <c r="G1154" s="270"/>
      <c r="H1154" s="271"/>
      <c r="I1154" s="199"/>
      <c r="J1154" s="199"/>
    </row>
    <row r="1155" spans="1:10" x14ac:dyDescent="0.3">
      <c r="A1155" s="269"/>
      <c r="B1155" s="198"/>
      <c r="C1155" s="199"/>
      <c r="D1155" s="199"/>
      <c r="E1155" s="199"/>
      <c r="F1155" s="200"/>
      <c r="G1155" s="270"/>
      <c r="H1155" s="271"/>
      <c r="I1155" s="199"/>
      <c r="J1155" s="199"/>
    </row>
    <row r="1156" spans="1:10" x14ac:dyDescent="0.3">
      <c r="A1156" s="269"/>
      <c r="B1156" s="198"/>
      <c r="C1156" s="199"/>
      <c r="D1156" s="199"/>
      <c r="E1156" s="199"/>
      <c r="F1156" s="200"/>
      <c r="G1156" s="270"/>
      <c r="H1156" s="271"/>
      <c r="I1156" s="199"/>
      <c r="J1156" s="199"/>
    </row>
    <row r="1157" spans="1:10" x14ac:dyDescent="0.3">
      <c r="A1157" s="269"/>
      <c r="B1157" s="198"/>
      <c r="C1157" s="199"/>
      <c r="D1157" s="199"/>
      <c r="E1157" s="199"/>
      <c r="F1157" s="200"/>
      <c r="G1157" s="270"/>
      <c r="H1157" s="271"/>
      <c r="I1157" s="199"/>
      <c r="J1157" s="199"/>
    </row>
    <row r="1158" spans="1:10" x14ac:dyDescent="0.3">
      <c r="A1158" s="269"/>
      <c r="B1158" s="198"/>
      <c r="C1158" s="272"/>
      <c r="D1158" s="272"/>
      <c r="E1158" s="272"/>
      <c r="F1158" s="200"/>
      <c r="G1158" s="270"/>
      <c r="H1158" s="271"/>
      <c r="I1158" s="199"/>
      <c r="J1158" s="272"/>
    </row>
    <row r="1159" spans="1:10" x14ac:dyDescent="0.3">
      <c r="A1159" s="269"/>
      <c r="B1159" s="198"/>
      <c r="C1159" s="199"/>
      <c r="D1159" s="199"/>
      <c r="E1159" s="199"/>
      <c r="F1159" s="200"/>
      <c r="G1159" s="270"/>
      <c r="H1159" s="271"/>
      <c r="I1159" s="199"/>
      <c r="J1159" s="199"/>
    </row>
    <row r="1160" spans="1:10" x14ac:dyDescent="0.3">
      <c r="A1160" s="269"/>
      <c r="B1160" s="198"/>
      <c r="C1160" s="199"/>
      <c r="D1160" s="199"/>
      <c r="E1160" s="199"/>
      <c r="F1160" s="200"/>
      <c r="G1160" s="270"/>
      <c r="H1160" s="271"/>
      <c r="I1160" s="199"/>
      <c r="J1160" s="199"/>
    </row>
    <row r="1161" spans="1:10" x14ac:dyDescent="0.3">
      <c r="A1161" s="269"/>
      <c r="B1161" s="198"/>
      <c r="C1161" s="199"/>
      <c r="D1161" s="199"/>
      <c r="E1161" s="199"/>
      <c r="F1161" s="200"/>
      <c r="G1161" s="270"/>
      <c r="H1161" s="271"/>
      <c r="I1161" s="199"/>
      <c r="J1161" s="199"/>
    </row>
    <row r="1162" spans="1:10" x14ac:dyDescent="0.3">
      <c r="A1162" s="269"/>
      <c r="B1162" s="198"/>
      <c r="C1162" s="199"/>
      <c r="D1162" s="199"/>
      <c r="E1162" s="199"/>
      <c r="F1162" s="200"/>
      <c r="G1162" s="270"/>
      <c r="H1162" s="271"/>
      <c r="I1162" s="199"/>
      <c r="J1162" s="199"/>
    </row>
    <row r="1163" spans="1:10" x14ac:dyDescent="0.3">
      <c r="A1163" s="269"/>
      <c r="B1163" s="198"/>
      <c r="C1163" s="199"/>
      <c r="D1163" s="199"/>
      <c r="E1163" s="199"/>
      <c r="F1163" s="200"/>
      <c r="G1163" s="270"/>
      <c r="H1163" s="271"/>
      <c r="I1163" s="199"/>
      <c r="J1163" s="199"/>
    </row>
    <row r="1164" spans="1:10" x14ac:dyDescent="0.3">
      <c r="A1164" s="269"/>
      <c r="B1164" s="198"/>
      <c r="C1164" s="199"/>
      <c r="D1164" s="199"/>
      <c r="E1164" s="199"/>
      <c r="F1164" s="200"/>
      <c r="G1164" s="270"/>
      <c r="H1164" s="271"/>
      <c r="I1164" s="199"/>
      <c r="J1164" s="199"/>
    </row>
    <row r="1165" spans="1:10" x14ac:dyDescent="0.3">
      <c r="A1165" s="269"/>
      <c r="B1165" s="198"/>
      <c r="C1165" s="272"/>
      <c r="D1165" s="272"/>
      <c r="E1165" s="272"/>
      <c r="F1165" s="200"/>
      <c r="G1165" s="270"/>
      <c r="H1165" s="271"/>
      <c r="I1165" s="199"/>
      <c r="J1165" s="272"/>
    </row>
    <row r="1166" spans="1:10" x14ac:dyDescent="0.3">
      <c r="A1166" s="269"/>
      <c r="B1166" s="198"/>
      <c r="C1166" s="199"/>
      <c r="D1166" s="199"/>
      <c r="E1166" s="199"/>
      <c r="F1166" s="200"/>
      <c r="G1166" s="270"/>
      <c r="H1166" s="271"/>
      <c r="I1166" s="199"/>
      <c r="J1166" s="199"/>
    </row>
    <row r="1167" spans="1:10" x14ac:dyDescent="0.3">
      <c r="A1167" s="269"/>
      <c r="B1167" s="198"/>
      <c r="C1167" s="199"/>
      <c r="D1167" s="199"/>
      <c r="E1167" s="199"/>
      <c r="F1167" s="200"/>
      <c r="G1167" s="270"/>
      <c r="H1167" s="271"/>
      <c r="I1167" s="199"/>
      <c r="J1167" s="199"/>
    </row>
    <row r="1168" spans="1:10" x14ac:dyDescent="0.3">
      <c r="A1168" s="269"/>
      <c r="B1168" s="198"/>
      <c r="C1168" s="199"/>
      <c r="D1168" s="199"/>
      <c r="E1168" s="199"/>
      <c r="F1168" s="200"/>
      <c r="G1168" s="270"/>
      <c r="H1168" s="271"/>
      <c r="I1168" s="199"/>
      <c r="J1168" s="199"/>
    </row>
    <row r="1169" spans="1:10" x14ac:dyDescent="0.3">
      <c r="A1169" s="269"/>
      <c r="B1169" s="198"/>
      <c r="C1169" s="199"/>
      <c r="D1169" s="199"/>
      <c r="E1169" s="199"/>
      <c r="F1169" s="200"/>
      <c r="G1169" s="270"/>
      <c r="H1169" s="271"/>
      <c r="I1169" s="199"/>
      <c r="J1169" s="199"/>
    </row>
    <row r="1170" spans="1:10" x14ac:dyDescent="0.3">
      <c r="A1170" s="269"/>
      <c r="B1170" s="198"/>
      <c r="C1170" s="272"/>
      <c r="D1170" s="272"/>
      <c r="E1170" s="272"/>
      <c r="F1170" s="200"/>
      <c r="G1170" s="270"/>
      <c r="H1170" s="271"/>
      <c r="I1170" s="272"/>
      <c r="J1170" s="272"/>
    </row>
    <row r="1171" spans="1:10" x14ac:dyDescent="0.3">
      <c r="A1171" s="269"/>
      <c r="B1171" s="198"/>
      <c r="C1171" s="199"/>
      <c r="D1171" s="199"/>
      <c r="E1171" s="199"/>
      <c r="F1171" s="200"/>
      <c r="G1171" s="270"/>
      <c r="H1171" s="271"/>
      <c r="I1171" s="199"/>
      <c r="J1171" s="199"/>
    </row>
    <row r="1172" spans="1:10" x14ac:dyDescent="0.3">
      <c r="A1172" s="269"/>
      <c r="B1172" s="198"/>
      <c r="C1172" s="199"/>
      <c r="D1172" s="199"/>
      <c r="E1172" s="199"/>
      <c r="F1172" s="200"/>
      <c r="G1172" s="270"/>
      <c r="H1172" s="271"/>
      <c r="I1172" s="199"/>
      <c r="J1172" s="199"/>
    </row>
    <row r="1173" spans="1:10" x14ac:dyDescent="0.3">
      <c r="A1173" s="269"/>
      <c r="B1173" s="198"/>
      <c r="C1173" s="199"/>
      <c r="D1173" s="199"/>
      <c r="E1173" s="199"/>
      <c r="F1173" s="200"/>
      <c r="G1173" s="270"/>
      <c r="H1173" s="271"/>
      <c r="I1173" s="199"/>
      <c r="J1173" s="199"/>
    </row>
    <row r="1174" spans="1:10" x14ac:dyDescent="0.3">
      <c r="A1174" s="269"/>
      <c r="B1174" s="198"/>
      <c r="C1174" s="199"/>
      <c r="D1174" s="199"/>
      <c r="E1174" s="199"/>
      <c r="F1174" s="200"/>
      <c r="G1174" s="270"/>
      <c r="H1174" s="271"/>
      <c r="I1174" s="199"/>
      <c r="J1174" s="199"/>
    </row>
    <row r="1175" spans="1:10" x14ac:dyDescent="0.3">
      <c r="A1175" s="269"/>
      <c r="B1175" s="198"/>
      <c r="C1175" s="272"/>
      <c r="D1175" s="272"/>
      <c r="E1175" s="272"/>
      <c r="F1175" s="200"/>
      <c r="G1175" s="270"/>
      <c r="H1175" s="271"/>
      <c r="I1175" s="272"/>
      <c r="J1175" s="272"/>
    </row>
    <row r="1176" spans="1:10" x14ac:dyDescent="0.3">
      <c r="A1176" s="269"/>
      <c r="B1176" s="198"/>
      <c r="C1176" s="199"/>
      <c r="D1176" s="199"/>
      <c r="E1176" s="199"/>
      <c r="F1176" s="200"/>
      <c r="G1176" s="270"/>
      <c r="H1176" s="271"/>
      <c r="I1176" s="199"/>
      <c r="J1176" s="199"/>
    </row>
    <row r="1177" spans="1:10" x14ac:dyDescent="0.3">
      <c r="A1177" s="269"/>
      <c r="B1177" s="198"/>
      <c r="C1177" s="199"/>
      <c r="D1177" s="199"/>
      <c r="E1177" s="199"/>
      <c r="F1177" s="200"/>
      <c r="G1177" s="270"/>
      <c r="H1177" s="271"/>
      <c r="I1177" s="199"/>
      <c r="J1177" s="199"/>
    </row>
    <row r="1178" spans="1:10" x14ac:dyDescent="0.3">
      <c r="A1178" s="269"/>
      <c r="B1178" s="198"/>
      <c r="C1178" s="199"/>
      <c r="D1178" s="199"/>
      <c r="E1178" s="199"/>
      <c r="F1178" s="200"/>
      <c r="G1178" s="270"/>
      <c r="H1178" s="271"/>
      <c r="I1178" s="199"/>
      <c r="J1178" s="199"/>
    </row>
    <row r="1179" spans="1:10" x14ac:dyDescent="0.3">
      <c r="A1179" s="269"/>
      <c r="B1179" s="198"/>
      <c r="C1179" s="199"/>
      <c r="D1179" s="199"/>
      <c r="E1179" s="199"/>
      <c r="F1179" s="200"/>
      <c r="G1179" s="270"/>
      <c r="H1179" s="271"/>
      <c r="I1179" s="199"/>
      <c r="J1179" s="199"/>
    </row>
    <row r="1180" spans="1:10" x14ac:dyDescent="0.3">
      <c r="A1180" s="269"/>
      <c r="B1180" s="198"/>
      <c r="C1180" s="199"/>
      <c r="D1180" s="199"/>
      <c r="E1180" s="199"/>
      <c r="F1180" s="200"/>
      <c r="G1180" s="270"/>
      <c r="H1180" s="271"/>
      <c r="I1180" s="199"/>
      <c r="J1180" s="199"/>
    </row>
    <row r="1181" spans="1:10" x14ac:dyDescent="0.3">
      <c r="A1181" s="269"/>
      <c r="B1181" s="198"/>
      <c r="C1181" s="199"/>
      <c r="D1181" s="199"/>
      <c r="E1181" s="199"/>
      <c r="F1181" s="200"/>
      <c r="G1181" s="273"/>
      <c r="H1181" s="274"/>
      <c r="I1181" s="199"/>
      <c r="J1181" s="199"/>
    </row>
    <row r="1182" spans="1:10" x14ac:dyDescent="0.3">
      <c r="A1182" s="269"/>
      <c r="B1182" s="198"/>
      <c r="C1182" s="272"/>
      <c r="D1182" s="272"/>
      <c r="E1182" s="272"/>
      <c r="F1182" s="200"/>
      <c r="G1182" s="270"/>
      <c r="H1182" s="271"/>
      <c r="I1182" s="272"/>
      <c r="J1182" s="272"/>
    </row>
    <row r="1183" spans="1:10" x14ac:dyDescent="0.3">
      <c r="A1183" s="269"/>
      <c r="B1183" s="198"/>
      <c r="C1183" s="272"/>
      <c r="D1183" s="272"/>
      <c r="E1183" s="272"/>
      <c r="F1183" s="200"/>
      <c r="G1183" s="270"/>
      <c r="H1183" s="271"/>
      <c r="I1183" s="272"/>
      <c r="J1183" s="272"/>
    </row>
    <row r="1184" spans="1:10" x14ac:dyDescent="0.3">
      <c r="A1184" s="269"/>
      <c r="B1184" s="198"/>
      <c r="C1184" s="199"/>
      <c r="D1184" s="199"/>
      <c r="E1184" s="199"/>
      <c r="F1184" s="200"/>
      <c r="G1184" s="270"/>
      <c r="H1184" s="271"/>
      <c r="I1184" s="199"/>
      <c r="J1184" s="199"/>
    </row>
    <row r="1185" spans="1:10" x14ac:dyDescent="0.3">
      <c r="A1185" s="269"/>
      <c r="B1185" s="198"/>
      <c r="C1185" s="272"/>
      <c r="D1185" s="272"/>
      <c r="E1185" s="272"/>
      <c r="F1185" s="200"/>
      <c r="G1185" s="270"/>
      <c r="H1185" s="271"/>
      <c r="I1185" s="272"/>
      <c r="J1185" s="272"/>
    </row>
    <row r="1186" spans="1:10" x14ac:dyDescent="0.3">
      <c r="A1186" s="269"/>
      <c r="B1186" s="198"/>
      <c r="C1186" s="272"/>
      <c r="D1186" s="272"/>
      <c r="E1186" s="272"/>
      <c r="F1186" s="200"/>
      <c r="G1186" s="270"/>
      <c r="H1186" s="271"/>
      <c r="I1186" s="272"/>
      <c r="J1186" s="272"/>
    </row>
    <row r="1187" spans="1:10" x14ac:dyDescent="0.3">
      <c r="A1187" s="269"/>
      <c r="B1187" s="198"/>
      <c r="C1187" s="272"/>
      <c r="D1187" s="272"/>
      <c r="E1187" s="272"/>
      <c r="F1187" s="200"/>
      <c r="G1187" s="270"/>
      <c r="H1187" s="271"/>
      <c r="I1187" s="272"/>
      <c r="J1187" s="272"/>
    </row>
    <row r="1188" spans="1:10" x14ac:dyDescent="0.3">
      <c r="A1188" s="269"/>
      <c r="B1188" s="198"/>
      <c r="C1188" s="272"/>
      <c r="D1188" s="272"/>
      <c r="E1188" s="272"/>
      <c r="F1188" s="200"/>
      <c r="G1188" s="270"/>
      <c r="H1188" s="271"/>
      <c r="I1188" s="272"/>
      <c r="J1188" s="272"/>
    </row>
    <row r="1189" spans="1:10" x14ac:dyDescent="0.3">
      <c r="A1189" s="269"/>
      <c r="B1189" s="198"/>
      <c r="C1189" s="272"/>
      <c r="D1189" s="272"/>
      <c r="E1189" s="272"/>
      <c r="F1189" s="200"/>
      <c r="G1189" s="270"/>
      <c r="H1189" s="271"/>
      <c r="I1189" s="272"/>
      <c r="J1189" s="272"/>
    </row>
    <row r="1190" spans="1:10" x14ac:dyDescent="0.3">
      <c r="A1190" s="269"/>
      <c r="B1190" s="198"/>
      <c r="C1190" s="199"/>
      <c r="D1190" s="199"/>
      <c r="E1190" s="199"/>
      <c r="F1190" s="200"/>
      <c r="G1190" s="270"/>
      <c r="H1190" s="271"/>
      <c r="I1190" s="199"/>
      <c r="J1190" s="199"/>
    </row>
    <row r="1191" spans="1:10" x14ac:dyDescent="0.3">
      <c r="A1191" s="269"/>
      <c r="B1191" s="198"/>
      <c r="C1191" s="199"/>
      <c r="D1191" s="199"/>
      <c r="E1191" s="199"/>
      <c r="F1191" s="200"/>
      <c r="G1191" s="270"/>
      <c r="H1191" s="271"/>
      <c r="I1191" s="199"/>
      <c r="J1191" s="199"/>
    </row>
    <row r="1192" spans="1:10" x14ac:dyDescent="0.3">
      <c r="A1192" s="269"/>
      <c r="B1192" s="198"/>
      <c r="C1192" s="272"/>
      <c r="D1192" s="272"/>
      <c r="E1192" s="272"/>
      <c r="F1192" s="200"/>
      <c r="G1192" s="270"/>
      <c r="H1192" s="271"/>
      <c r="I1192" s="272"/>
      <c r="J1192" s="272"/>
    </row>
    <row r="1193" spans="1:10" x14ac:dyDescent="0.3">
      <c r="A1193" s="269"/>
      <c r="B1193" s="198"/>
      <c r="C1193" s="199"/>
      <c r="D1193" s="199"/>
      <c r="E1193" s="199"/>
      <c r="F1193" s="200"/>
      <c r="G1193" s="270"/>
      <c r="H1193" s="271"/>
      <c r="I1193" s="199"/>
      <c r="J1193" s="199"/>
    </row>
    <row r="1194" spans="1:10" x14ac:dyDescent="0.3">
      <c r="A1194" s="269"/>
      <c r="B1194" s="198"/>
      <c r="C1194" s="199"/>
      <c r="D1194" s="199"/>
      <c r="E1194" s="199"/>
      <c r="F1194" s="200"/>
      <c r="G1194" s="270"/>
      <c r="H1194" s="271"/>
      <c r="I1194" s="199"/>
      <c r="J1194" s="199"/>
    </row>
    <row r="1195" spans="1:10" x14ac:dyDescent="0.3">
      <c r="A1195" s="269"/>
      <c r="B1195" s="198"/>
      <c r="C1195" s="199"/>
      <c r="D1195" s="199"/>
      <c r="E1195" s="199"/>
      <c r="F1195" s="200"/>
      <c r="G1195" s="270"/>
      <c r="H1195" s="271"/>
      <c r="I1195" s="199"/>
      <c r="J1195" s="199"/>
    </row>
    <row r="1196" spans="1:10" x14ac:dyDescent="0.3">
      <c r="A1196" s="269"/>
      <c r="B1196" s="198"/>
      <c r="C1196" s="199"/>
      <c r="D1196" s="199"/>
      <c r="E1196" s="199"/>
      <c r="F1196" s="200"/>
      <c r="G1196" s="270"/>
      <c r="H1196" s="271"/>
      <c r="I1196" s="199"/>
      <c r="J1196" s="199"/>
    </row>
    <row r="1197" spans="1:10" x14ac:dyDescent="0.3">
      <c r="A1197" s="269"/>
      <c r="B1197" s="198"/>
      <c r="C1197" s="199"/>
      <c r="D1197" s="199"/>
      <c r="E1197" s="199"/>
      <c r="F1197" s="200"/>
      <c r="G1197" s="270"/>
      <c r="H1197" s="271"/>
      <c r="I1197" s="199"/>
      <c r="J1197" s="199"/>
    </row>
    <row r="1198" spans="1:10" x14ac:dyDescent="0.3">
      <c r="A1198" s="269"/>
      <c r="B1198" s="198"/>
      <c r="C1198" s="199"/>
      <c r="D1198" s="199"/>
      <c r="E1198" s="199"/>
      <c r="F1198" s="200"/>
      <c r="G1198" s="270"/>
      <c r="H1198" s="271"/>
      <c r="I1198" s="199"/>
      <c r="J1198" s="199"/>
    </row>
    <row r="1199" spans="1:10" x14ac:dyDescent="0.3">
      <c r="A1199" s="269"/>
      <c r="B1199" s="198"/>
      <c r="C1199" s="199"/>
      <c r="D1199" s="199"/>
      <c r="E1199" s="199"/>
      <c r="F1199" s="200"/>
      <c r="G1199" s="270"/>
      <c r="H1199" s="271"/>
      <c r="I1199" s="199"/>
      <c r="J1199" s="199"/>
    </row>
    <row r="1200" spans="1:10" x14ac:dyDescent="0.3">
      <c r="A1200" s="269"/>
      <c r="B1200" s="198"/>
      <c r="C1200" s="199"/>
      <c r="D1200" s="199"/>
      <c r="E1200" s="199"/>
      <c r="F1200" s="200"/>
      <c r="G1200" s="270"/>
      <c r="H1200" s="271"/>
      <c r="I1200" s="199"/>
      <c r="J1200" s="199"/>
    </row>
    <row r="1201" spans="1:10" x14ac:dyDescent="0.3">
      <c r="A1201" s="269"/>
      <c r="B1201" s="198"/>
      <c r="C1201" s="199"/>
      <c r="D1201" s="199"/>
      <c r="E1201" s="199"/>
      <c r="F1201" s="200"/>
      <c r="G1201" s="270"/>
      <c r="H1201" s="271"/>
      <c r="I1201" s="199"/>
      <c r="J1201" s="199"/>
    </row>
    <row r="1202" spans="1:10" x14ac:dyDescent="0.3">
      <c r="A1202" s="269"/>
      <c r="B1202" s="198"/>
      <c r="C1202" s="199"/>
      <c r="D1202" s="199"/>
      <c r="E1202" s="199"/>
      <c r="F1202" s="200"/>
      <c r="G1202" s="199"/>
      <c r="H1202" s="200"/>
      <c r="I1202" s="199"/>
      <c r="J1202" s="199"/>
    </row>
    <row r="1203" spans="1:10" x14ac:dyDescent="0.3">
      <c r="A1203" s="269"/>
      <c r="B1203" s="198"/>
      <c r="C1203" s="199"/>
      <c r="D1203" s="199"/>
      <c r="E1203" s="199"/>
      <c r="F1203" s="200"/>
      <c r="G1203" s="270"/>
      <c r="H1203" s="271"/>
      <c r="I1203" s="199"/>
      <c r="J1203" s="199"/>
    </row>
    <row r="1204" spans="1:10" x14ac:dyDescent="0.3">
      <c r="A1204" s="269"/>
      <c r="B1204" s="198"/>
      <c r="C1204" s="272"/>
      <c r="D1204" s="272"/>
      <c r="E1204" s="272"/>
      <c r="F1204" s="200"/>
      <c r="G1204" s="270"/>
      <c r="H1204" s="271"/>
      <c r="I1204" s="272"/>
      <c r="J1204" s="272"/>
    </row>
    <row r="1205" spans="1:10" x14ac:dyDescent="0.3">
      <c r="A1205" s="269"/>
      <c r="B1205" s="198"/>
      <c r="C1205" s="272"/>
      <c r="D1205" s="272"/>
      <c r="E1205" s="272"/>
      <c r="F1205" s="200"/>
      <c r="G1205" s="270"/>
      <c r="H1205" s="271"/>
      <c r="I1205" s="272"/>
      <c r="J1205" s="272"/>
    </row>
    <row r="1206" spans="1:10" x14ac:dyDescent="0.3">
      <c r="A1206" s="269"/>
      <c r="B1206" s="198"/>
      <c r="C1206" s="272"/>
      <c r="D1206" s="272"/>
      <c r="E1206" s="272"/>
      <c r="F1206" s="200"/>
      <c r="G1206" s="270"/>
      <c r="H1206" s="271"/>
      <c r="I1206" s="272"/>
      <c r="J1206" s="272"/>
    </row>
    <row r="1207" spans="1:10" x14ac:dyDescent="0.3">
      <c r="A1207" s="269"/>
      <c r="B1207" s="198"/>
      <c r="C1207" s="199"/>
      <c r="D1207" s="199"/>
      <c r="E1207" s="199"/>
      <c r="F1207" s="200"/>
      <c r="G1207" s="270"/>
      <c r="H1207" s="271"/>
      <c r="I1207" s="199"/>
      <c r="J1207" s="199"/>
    </row>
    <row r="1208" spans="1:10" x14ac:dyDescent="0.3">
      <c r="A1208" s="269"/>
      <c r="B1208" s="198"/>
      <c r="C1208" s="272"/>
      <c r="D1208" s="272"/>
      <c r="E1208" s="272"/>
      <c r="F1208" s="200"/>
      <c r="G1208" s="270"/>
      <c r="H1208" s="271"/>
      <c r="I1208" s="272"/>
      <c r="J1208" s="272"/>
    </row>
    <row r="1209" spans="1:10" x14ac:dyDescent="0.3">
      <c r="A1209" s="269"/>
      <c r="B1209" s="198"/>
      <c r="C1209" s="272"/>
      <c r="D1209" s="272"/>
      <c r="E1209" s="272"/>
      <c r="F1209" s="200"/>
      <c r="G1209" s="270"/>
      <c r="H1209" s="271"/>
      <c r="I1209" s="272"/>
      <c r="J1209" s="272"/>
    </row>
    <row r="1210" spans="1:10" x14ac:dyDescent="0.3">
      <c r="A1210" s="269"/>
      <c r="B1210" s="198"/>
      <c r="C1210" s="199"/>
      <c r="D1210" s="199"/>
      <c r="E1210" s="199"/>
      <c r="F1210" s="200"/>
      <c r="G1210" s="270"/>
      <c r="H1210" s="271"/>
      <c r="I1210" s="199"/>
      <c r="J1210" s="199"/>
    </row>
    <row r="1211" spans="1:10" x14ac:dyDescent="0.3">
      <c r="A1211" s="269"/>
      <c r="B1211" s="198"/>
      <c r="C1211" s="199"/>
      <c r="D1211" s="199"/>
      <c r="E1211" s="199"/>
      <c r="F1211" s="200"/>
      <c r="G1211" s="270"/>
      <c r="H1211" s="271"/>
      <c r="I1211" s="199"/>
      <c r="J1211" s="199"/>
    </row>
    <row r="1212" spans="1:10" x14ac:dyDescent="0.3">
      <c r="A1212" s="269"/>
      <c r="B1212" s="198"/>
      <c r="C1212" s="199"/>
      <c r="D1212" s="199"/>
      <c r="E1212" s="199"/>
      <c r="F1212" s="200"/>
      <c r="G1212" s="270"/>
      <c r="H1212" s="271"/>
      <c r="I1212" s="199"/>
      <c r="J1212" s="199"/>
    </row>
    <row r="1213" spans="1:10" x14ac:dyDescent="0.3">
      <c r="A1213" s="269"/>
      <c r="B1213" s="198"/>
      <c r="C1213" s="199"/>
      <c r="D1213" s="199"/>
      <c r="E1213" s="199"/>
      <c r="F1213" s="200"/>
      <c r="G1213" s="270"/>
      <c r="H1213" s="271"/>
      <c r="I1213" s="199"/>
      <c r="J1213" s="199"/>
    </row>
    <row r="1214" spans="1:10" x14ac:dyDescent="0.3">
      <c r="A1214" s="269"/>
      <c r="B1214" s="198"/>
      <c r="C1214" s="272"/>
      <c r="D1214" s="272"/>
      <c r="E1214" s="272"/>
      <c r="F1214" s="200"/>
      <c r="G1214" s="270"/>
      <c r="H1214" s="271"/>
      <c r="I1214" s="272"/>
      <c r="J1214" s="272"/>
    </row>
    <row r="1215" spans="1:10" x14ac:dyDescent="0.3">
      <c r="A1215" s="269"/>
      <c r="B1215" s="198"/>
      <c r="C1215" s="199"/>
      <c r="D1215" s="199"/>
      <c r="E1215" s="199"/>
      <c r="F1215" s="200"/>
      <c r="G1215" s="270"/>
      <c r="H1215" s="271"/>
      <c r="I1215" s="199"/>
      <c r="J1215" s="199"/>
    </row>
    <row r="1216" spans="1:10" x14ac:dyDescent="0.3">
      <c r="A1216" s="269"/>
      <c r="B1216" s="198"/>
      <c r="C1216" s="199"/>
      <c r="D1216" s="199"/>
      <c r="E1216" s="199"/>
      <c r="F1216" s="200"/>
      <c r="G1216" s="270"/>
      <c r="H1216" s="271"/>
      <c r="I1216" s="199"/>
      <c r="J1216" s="199"/>
    </row>
    <row r="1217" spans="1:10" x14ac:dyDescent="0.3">
      <c r="A1217" s="269"/>
      <c r="B1217" s="198"/>
      <c r="C1217" s="199"/>
      <c r="D1217" s="199"/>
      <c r="E1217" s="199"/>
      <c r="F1217" s="200"/>
      <c r="G1217" s="270"/>
      <c r="H1217" s="271"/>
      <c r="I1217" s="199"/>
      <c r="J1217" s="199"/>
    </row>
    <row r="1218" spans="1:10" x14ac:dyDescent="0.3">
      <c r="A1218" s="269"/>
      <c r="B1218" s="198"/>
      <c r="C1218" s="272"/>
      <c r="D1218" s="272"/>
      <c r="E1218" s="272"/>
      <c r="F1218" s="200"/>
      <c r="G1218" s="270"/>
      <c r="H1218" s="271"/>
      <c r="I1218" s="199"/>
      <c r="J1218" s="272"/>
    </row>
    <row r="1219" spans="1:10" x14ac:dyDescent="0.3">
      <c r="A1219" s="269"/>
      <c r="B1219" s="198"/>
      <c r="C1219" s="199"/>
      <c r="D1219" s="199"/>
      <c r="E1219" s="199"/>
      <c r="F1219" s="200"/>
      <c r="G1219" s="270"/>
      <c r="H1219" s="271"/>
      <c r="I1219" s="199"/>
      <c r="J1219" s="199"/>
    </row>
    <row r="1220" spans="1:10" x14ac:dyDescent="0.3">
      <c r="A1220" s="269"/>
      <c r="B1220" s="198"/>
      <c r="C1220" s="199"/>
      <c r="D1220" s="199"/>
      <c r="E1220" s="199"/>
      <c r="F1220" s="200"/>
      <c r="G1220" s="270"/>
      <c r="H1220" s="271"/>
      <c r="I1220" s="199"/>
      <c r="J1220" s="199"/>
    </row>
    <row r="1221" spans="1:10" x14ac:dyDescent="0.3">
      <c r="A1221" s="269"/>
      <c r="B1221" s="198"/>
      <c r="C1221" s="199"/>
      <c r="D1221" s="199"/>
      <c r="E1221" s="199"/>
      <c r="F1221" s="200"/>
      <c r="G1221" s="270"/>
      <c r="H1221" s="271"/>
      <c r="I1221" s="199"/>
      <c r="J1221" s="199"/>
    </row>
    <row r="1222" spans="1:10" x14ac:dyDescent="0.3">
      <c r="A1222" s="269"/>
      <c r="B1222" s="198"/>
      <c r="C1222" s="272"/>
      <c r="D1222" s="272"/>
      <c r="E1222" s="272"/>
      <c r="F1222" s="200"/>
      <c r="G1222" s="270"/>
      <c r="H1222" s="271"/>
      <c r="I1222" s="199"/>
      <c r="J1222" s="272"/>
    </row>
    <row r="1223" spans="1:10" x14ac:dyDescent="0.3">
      <c r="A1223" s="269"/>
      <c r="B1223" s="198"/>
      <c r="C1223" s="199"/>
      <c r="D1223" s="199"/>
      <c r="E1223" s="199"/>
      <c r="F1223" s="200"/>
      <c r="G1223" s="270"/>
      <c r="H1223" s="271"/>
      <c r="I1223" s="199"/>
      <c r="J1223" s="199"/>
    </row>
    <row r="1224" spans="1:10" x14ac:dyDescent="0.3">
      <c r="A1224" s="269"/>
      <c r="B1224" s="198"/>
      <c r="C1224" s="199"/>
      <c r="D1224" s="199"/>
      <c r="E1224" s="199"/>
      <c r="F1224" s="200"/>
      <c r="G1224" s="270"/>
      <c r="H1224" s="271"/>
      <c r="I1224" s="199"/>
      <c r="J1224" s="199"/>
    </row>
    <row r="1225" spans="1:10" x14ac:dyDescent="0.3">
      <c r="A1225" s="269"/>
      <c r="B1225" s="198"/>
      <c r="C1225" s="199"/>
      <c r="D1225" s="199"/>
      <c r="E1225" s="199"/>
      <c r="F1225" s="200"/>
      <c r="G1225" s="270"/>
      <c r="H1225" s="271"/>
      <c r="I1225" s="199"/>
      <c r="J1225" s="199"/>
    </row>
    <row r="1226" spans="1:10" x14ac:dyDescent="0.3">
      <c r="A1226" s="269"/>
      <c r="B1226" s="198"/>
      <c r="C1226" s="199"/>
      <c r="D1226" s="199"/>
      <c r="E1226" s="199"/>
      <c r="F1226" s="200"/>
      <c r="G1226" s="270"/>
      <c r="H1226" s="271"/>
      <c r="I1226" s="199"/>
      <c r="J1226" s="199"/>
    </row>
    <row r="1227" spans="1:10" x14ac:dyDescent="0.3">
      <c r="A1227" s="269"/>
      <c r="B1227" s="198"/>
      <c r="C1227" s="272"/>
      <c r="D1227" s="272"/>
      <c r="E1227" s="272"/>
      <c r="F1227" s="200"/>
      <c r="G1227" s="270"/>
      <c r="H1227" s="271"/>
      <c r="I1227" s="199"/>
      <c r="J1227" s="272"/>
    </row>
    <row r="1228" spans="1:10" x14ac:dyDescent="0.3">
      <c r="A1228" s="269"/>
      <c r="B1228" s="198"/>
      <c r="C1228" s="199"/>
      <c r="D1228" s="199"/>
      <c r="E1228" s="199"/>
      <c r="F1228" s="200"/>
      <c r="G1228" s="270"/>
      <c r="H1228" s="271"/>
      <c r="I1228" s="199"/>
      <c r="J1228" s="199"/>
    </row>
    <row r="1229" spans="1:10" x14ac:dyDescent="0.3">
      <c r="A1229" s="269"/>
      <c r="B1229" s="198"/>
      <c r="C1229" s="199"/>
      <c r="D1229" s="199"/>
      <c r="E1229" s="199"/>
      <c r="F1229" s="200"/>
      <c r="G1229" s="270"/>
      <c r="H1229" s="271"/>
      <c r="I1229" s="199"/>
      <c r="J1229" s="199"/>
    </row>
    <row r="1230" spans="1:10" x14ac:dyDescent="0.3">
      <c r="A1230" s="269"/>
      <c r="B1230" s="198"/>
      <c r="C1230" s="199"/>
      <c r="D1230" s="199"/>
      <c r="E1230" s="199"/>
      <c r="F1230" s="200"/>
      <c r="G1230" s="270"/>
      <c r="H1230" s="271"/>
      <c r="I1230" s="199"/>
      <c r="J1230" s="199"/>
    </row>
    <row r="1231" spans="1:10" x14ac:dyDescent="0.3">
      <c r="A1231" s="269"/>
      <c r="B1231" s="198"/>
      <c r="C1231" s="199"/>
      <c r="D1231" s="199"/>
      <c r="E1231" s="199"/>
      <c r="F1231" s="200"/>
      <c r="G1231" s="270"/>
      <c r="H1231" s="271"/>
      <c r="I1231" s="199"/>
      <c r="J1231" s="199"/>
    </row>
    <row r="1232" spans="1:10" x14ac:dyDescent="0.3">
      <c r="A1232" s="269"/>
      <c r="B1232" s="198"/>
      <c r="C1232" s="199"/>
      <c r="D1232" s="199"/>
      <c r="E1232" s="199"/>
      <c r="F1232" s="200"/>
      <c r="G1232" s="270"/>
      <c r="H1232" s="271"/>
      <c r="I1232" s="199"/>
      <c r="J1232" s="199"/>
    </row>
    <row r="1233" spans="1:10" x14ac:dyDescent="0.3">
      <c r="A1233" s="269"/>
      <c r="B1233" s="198"/>
      <c r="C1233" s="272"/>
      <c r="D1233" s="272"/>
      <c r="E1233" s="272"/>
      <c r="F1233" s="200"/>
      <c r="G1233" s="270"/>
      <c r="H1233" s="271"/>
      <c r="I1233" s="199"/>
      <c r="J1233" s="272"/>
    </row>
    <row r="1234" spans="1:10" x14ac:dyDescent="0.3">
      <c r="A1234" s="269"/>
      <c r="B1234" s="198"/>
      <c r="C1234" s="199"/>
      <c r="D1234" s="199"/>
      <c r="E1234" s="199"/>
      <c r="F1234" s="200"/>
      <c r="G1234" s="270"/>
      <c r="H1234" s="271"/>
      <c r="I1234" s="199"/>
      <c r="J1234" s="199"/>
    </row>
    <row r="1235" spans="1:10" x14ac:dyDescent="0.3">
      <c r="A1235" s="269"/>
      <c r="B1235" s="198"/>
      <c r="C1235" s="199"/>
      <c r="D1235" s="199"/>
      <c r="E1235" s="199"/>
      <c r="F1235" s="200"/>
      <c r="G1235" s="270"/>
      <c r="H1235" s="271"/>
      <c r="I1235" s="199"/>
      <c r="J1235" s="199"/>
    </row>
    <row r="1236" spans="1:10" x14ac:dyDescent="0.3">
      <c r="A1236" s="269"/>
      <c r="B1236" s="198"/>
      <c r="C1236" s="199"/>
      <c r="D1236" s="199"/>
      <c r="E1236" s="199"/>
      <c r="F1236" s="200"/>
      <c r="G1236" s="270"/>
      <c r="H1236" s="271"/>
      <c r="I1236" s="199"/>
      <c r="J1236" s="199"/>
    </row>
    <row r="1237" spans="1:10" x14ac:dyDescent="0.3">
      <c r="A1237" s="269"/>
      <c r="B1237" s="198"/>
      <c r="C1237" s="199"/>
      <c r="D1237" s="199"/>
      <c r="E1237" s="199"/>
      <c r="F1237" s="200"/>
      <c r="G1237" s="270"/>
      <c r="H1237" s="271"/>
      <c r="I1237" s="199"/>
      <c r="J1237" s="199"/>
    </row>
    <row r="1238" spans="1:10" x14ac:dyDescent="0.3">
      <c r="A1238" s="269"/>
      <c r="B1238" s="198"/>
      <c r="C1238" s="272"/>
      <c r="D1238" s="272"/>
      <c r="E1238" s="272"/>
      <c r="F1238" s="200"/>
      <c r="G1238" s="270"/>
      <c r="H1238" s="271"/>
      <c r="I1238" s="199"/>
      <c r="J1238" s="272"/>
    </row>
    <row r="1239" spans="1:10" x14ac:dyDescent="0.3">
      <c r="A1239" s="269"/>
      <c r="B1239" s="198"/>
      <c r="C1239" s="199"/>
      <c r="D1239" s="199"/>
      <c r="E1239" s="199"/>
      <c r="F1239" s="200"/>
      <c r="G1239" s="270"/>
      <c r="H1239" s="271"/>
      <c r="I1239" s="199"/>
      <c r="J1239" s="199"/>
    </row>
    <row r="1240" spans="1:10" x14ac:dyDescent="0.3">
      <c r="A1240" s="269"/>
      <c r="B1240" s="198"/>
      <c r="C1240" s="199"/>
      <c r="D1240" s="199"/>
      <c r="E1240" s="199"/>
      <c r="F1240" s="200"/>
      <c r="G1240" s="270"/>
      <c r="H1240" s="271"/>
      <c r="I1240" s="199"/>
      <c r="J1240" s="199"/>
    </row>
    <row r="1241" spans="1:10" x14ac:dyDescent="0.3">
      <c r="A1241" s="269"/>
      <c r="B1241" s="198"/>
      <c r="C1241" s="199"/>
      <c r="D1241" s="199"/>
      <c r="E1241" s="199"/>
      <c r="F1241" s="200"/>
      <c r="G1241" s="270"/>
      <c r="H1241" s="271"/>
      <c r="I1241" s="199"/>
      <c r="J1241" s="199"/>
    </row>
    <row r="1242" spans="1:10" x14ac:dyDescent="0.3">
      <c r="A1242" s="269"/>
      <c r="B1242" s="198"/>
      <c r="C1242" s="199"/>
      <c r="D1242" s="199"/>
      <c r="E1242" s="199"/>
      <c r="F1242" s="200"/>
      <c r="G1242" s="270"/>
      <c r="H1242" s="271"/>
      <c r="I1242" s="199"/>
      <c r="J1242" s="199"/>
    </row>
    <row r="1243" spans="1:10" x14ac:dyDescent="0.3">
      <c r="A1243" s="269"/>
      <c r="B1243" s="198"/>
      <c r="C1243" s="199"/>
      <c r="D1243" s="199"/>
      <c r="E1243" s="199"/>
      <c r="F1243" s="200"/>
      <c r="G1243" s="270"/>
      <c r="H1243" s="271"/>
      <c r="I1243" s="199"/>
      <c r="J1243" s="199"/>
    </row>
    <row r="1244" spans="1:10" x14ac:dyDescent="0.3">
      <c r="A1244" s="269"/>
      <c r="B1244" s="198"/>
      <c r="C1244" s="199"/>
      <c r="D1244" s="199"/>
      <c r="E1244" s="199"/>
      <c r="F1244" s="200"/>
      <c r="G1244" s="270"/>
      <c r="H1244" s="271"/>
      <c r="I1244" s="199"/>
      <c r="J1244" s="199"/>
    </row>
    <row r="1245" spans="1:10" x14ac:dyDescent="0.3">
      <c r="A1245" s="269"/>
      <c r="B1245" s="198"/>
      <c r="C1245" s="199"/>
      <c r="D1245" s="199"/>
      <c r="E1245" s="199"/>
      <c r="F1245" s="200"/>
      <c r="G1245" s="270"/>
      <c r="H1245" s="271"/>
      <c r="I1245" s="199"/>
      <c r="J1245" s="199"/>
    </row>
    <row r="1246" spans="1:10" x14ac:dyDescent="0.3">
      <c r="A1246" s="269"/>
      <c r="B1246" s="198"/>
      <c r="C1246" s="199"/>
      <c r="D1246" s="199"/>
      <c r="E1246" s="199"/>
      <c r="F1246" s="200"/>
      <c r="G1246" s="270"/>
      <c r="H1246" s="271"/>
      <c r="I1246" s="199"/>
      <c r="J1246" s="199"/>
    </row>
    <row r="1247" spans="1:10" x14ac:dyDescent="0.3">
      <c r="A1247" s="269"/>
      <c r="B1247" s="198"/>
      <c r="C1247" s="199"/>
      <c r="D1247" s="199"/>
      <c r="E1247" s="199"/>
      <c r="F1247" s="200"/>
      <c r="G1247" s="270"/>
      <c r="H1247" s="271"/>
      <c r="I1247" s="199"/>
      <c r="J1247" s="199"/>
    </row>
    <row r="1248" spans="1:10" x14ac:dyDescent="0.3">
      <c r="A1248" s="269"/>
      <c r="B1248" s="198"/>
      <c r="C1248" s="199"/>
      <c r="D1248" s="199"/>
      <c r="E1248" s="199"/>
      <c r="F1248" s="200"/>
      <c r="G1248" s="199"/>
      <c r="H1248" s="200"/>
      <c r="I1248" s="199"/>
      <c r="J1248" s="199"/>
    </row>
    <row r="1249" spans="1:10" x14ac:dyDescent="0.3">
      <c r="A1249" s="269"/>
      <c r="B1249" s="198"/>
      <c r="C1249" s="199"/>
      <c r="D1249" s="199"/>
      <c r="E1249" s="199"/>
      <c r="F1249" s="200"/>
      <c r="G1249" s="270"/>
      <c r="H1249" s="271"/>
      <c r="I1249" s="199"/>
      <c r="J1249" s="199"/>
    </row>
    <row r="1250" spans="1:10" x14ac:dyDescent="0.3">
      <c r="A1250" s="269"/>
      <c r="B1250" s="198"/>
      <c r="C1250" s="199"/>
      <c r="D1250" s="199"/>
      <c r="E1250" s="199"/>
      <c r="F1250" s="200"/>
      <c r="G1250" s="199"/>
      <c r="H1250" s="200"/>
      <c r="I1250" s="199"/>
      <c r="J1250" s="199"/>
    </row>
    <row r="1251" spans="1:10" x14ac:dyDescent="0.3">
      <c r="A1251" s="269"/>
      <c r="B1251" s="198"/>
      <c r="C1251" s="199"/>
      <c r="D1251" s="199"/>
      <c r="E1251" s="199"/>
      <c r="F1251" s="200"/>
      <c r="G1251" s="270"/>
      <c r="H1251" s="271"/>
      <c r="I1251" s="199"/>
      <c r="J1251" s="199"/>
    </row>
    <row r="1252" spans="1:10" x14ac:dyDescent="0.3">
      <c r="A1252" s="269"/>
      <c r="B1252" s="198"/>
      <c r="C1252" s="272"/>
      <c r="D1252" s="272"/>
      <c r="E1252" s="272"/>
      <c r="F1252" s="200"/>
      <c r="G1252" s="270"/>
      <c r="H1252" s="271"/>
      <c r="I1252" s="272"/>
      <c r="J1252" s="272"/>
    </row>
    <row r="1253" spans="1:10" x14ac:dyDescent="0.3">
      <c r="A1253" s="269"/>
      <c r="B1253" s="198"/>
      <c r="C1253" s="272"/>
      <c r="D1253" s="272"/>
      <c r="E1253" s="272"/>
      <c r="F1253" s="200"/>
      <c r="G1253" s="270"/>
      <c r="H1253" s="271"/>
      <c r="I1253" s="272"/>
      <c r="J1253" s="272"/>
    </row>
    <row r="1254" spans="1:10" x14ac:dyDescent="0.3">
      <c r="A1254" s="269"/>
      <c r="B1254" s="198"/>
      <c r="C1254" s="199"/>
      <c r="D1254" s="199"/>
      <c r="E1254" s="199"/>
      <c r="F1254" s="200"/>
      <c r="G1254" s="270"/>
      <c r="H1254" s="271"/>
      <c r="I1254" s="199"/>
      <c r="J1254" s="199"/>
    </row>
    <row r="1255" spans="1:10" x14ac:dyDescent="0.3">
      <c r="A1255" s="269"/>
      <c r="B1255" s="198"/>
      <c r="C1255" s="272"/>
      <c r="D1255" s="272"/>
      <c r="E1255" s="272"/>
      <c r="F1255" s="200"/>
      <c r="G1255" s="270"/>
      <c r="H1255" s="271"/>
      <c r="I1255" s="272"/>
      <c r="J1255" s="272"/>
    </row>
    <row r="1256" spans="1:10" x14ac:dyDescent="0.3">
      <c r="A1256" s="269"/>
      <c r="B1256" s="198"/>
      <c r="C1256" s="199"/>
      <c r="D1256" s="199"/>
      <c r="E1256" s="199"/>
      <c r="F1256" s="200"/>
      <c r="G1256" s="270"/>
      <c r="H1256" s="271"/>
      <c r="I1256" s="199"/>
      <c r="J1256" s="199"/>
    </row>
    <row r="1257" spans="1:10" x14ac:dyDescent="0.3">
      <c r="A1257" s="269"/>
      <c r="B1257" s="198"/>
      <c r="C1257" s="199"/>
      <c r="D1257" s="199"/>
      <c r="E1257" s="199"/>
      <c r="F1257" s="200"/>
      <c r="G1257" s="270"/>
      <c r="H1257" s="271"/>
      <c r="I1257" s="199"/>
      <c r="J1257" s="199"/>
    </row>
    <row r="1258" spans="1:10" x14ac:dyDescent="0.3">
      <c r="A1258" s="269"/>
      <c r="B1258" s="198"/>
      <c r="C1258" s="199"/>
      <c r="D1258" s="199"/>
      <c r="E1258" s="199"/>
      <c r="F1258" s="200"/>
      <c r="G1258" s="270"/>
      <c r="H1258" s="271"/>
      <c r="I1258" s="199"/>
      <c r="J1258" s="199"/>
    </row>
    <row r="1259" spans="1:10" x14ac:dyDescent="0.3">
      <c r="A1259" s="269"/>
      <c r="B1259" s="198"/>
      <c r="C1259" s="199"/>
      <c r="D1259" s="199"/>
      <c r="E1259" s="199"/>
      <c r="F1259" s="200"/>
      <c r="G1259" s="270"/>
      <c r="H1259" s="271"/>
      <c r="I1259" s="199"/>
      <c r="J1259" s="199"/>
    </row>
    <row r="1260" spans="1:10" x14ac:dyDescent="0.3">
      <c r="A1260" s="269"/>
      <c r="B1260" s="198"/>
      <c r="C1260" s="272"/>
      <c r="D1260" s="272"/>
      <c r="E1260" s="272"/>
      <c r="F1260" s="200"/>
      <c r="G1260" s="199"/>
      <c r="H1260" s="200"/>
      <c r="I1260" s="199"/>
      <c r="J1260" s="272"/>
    </row>
    <row r="1261" spans="1:10" x14ac:dyDescent="0.3">
      <c r="A1261" s="269"/>
      <c r="B1261" s="198"/>
      <c r="C1261" s="272"/>
      <c r="D1261" s="272"/>
      <c r="E1261" s="272"/>
      <c r="F1261" s="200"/>
      <c r="G1261" s="270"/>
      <c r="H1261" s="271"/>
      <c r="I1261" s="272"/>
      <c r="J1261" s="272"/>
    </row>
    <row r="1262" spans="1:10" x14ac:dyDescent="0.3">
      <c r="A1262" s="269"/>
      <c r="B1262" s="198"/>
      <c r="C1262" s="199"/>
      <c r="D1262" s="199"/>
      <c r="E1262" s="199"/>
      <c r="F1262" s="200"/>
      <c r="G1262" s="270"/>
      <c r="H1262" s="271"/>
      <c r="I1262" s="199"/>
      <c r="J1262" s="199"/>
    </row>
    <row r="1263" spans="1:10" x14ac:dyDescent="0.3">
      <c r="A1263" s="269"/>
      <c r="B1263" s="198"/>
      <c r="C1263" s="199"/>
      <c r="D1263" s="199"/>
      <c r="E1263" s="199"/>
      <c r="F1263" s="200"/>
      <c r="G1263" s="270"/>
      <c r="H1263" s="271"/>
      <c r="I1263" s="199"/>
      <c r="J1263" s="199"/>
    </row>
    <row r="1264" spans="1:10" x14ac:dyDescent="0.3">
      <c r="A1264" s="269"/>
      <c r="B1264" s="198"/>
      <c r="C1264" s="199"/>
      <c r="D1264" s="199"/>
      <c r="E1264" s="199"/>
      <c r="F1264" s="200"/>
      <c r="G1264" s="270"/>
      <c r="H1264" s="271"/>
      <c r="I1264" s="199"/>
      <c r="J1264" s="199"/>
    </row>
    <row r="1265" spans="1:10" x14ac:dyDescent="0.3">
      <c r="A1265" s="269"/>
      <c r="B1265" s="198"/>
      <c r="C1265" s="272"/>
      <c r="D1265" s="272"/>
      <c r="E1265" s="272"/>
      <c r="F1265" s="200"/>
      <c r="G1265" s="270"/>
      <c r="H1265" s="271"/>
      <c r="I1265" s="199"/>
      <c r="J1265" s="272"/>
    </row>
    <row r="1266" spans="1:10" x14ac:dyDescent="0.3">
      <c r="A1266" s="269"/>
      <c r="B1266" s="198"/>
      <c r="C1266" s="199"/>
      <c r="D1266" s="199"/>
      <c r="E1266" s="199"/>
      <c r="F1266" s="200"/>
      <c r="G1266" s="270"/>
      <c r="H1266" s="271"/>
      <c r="I1266" s="199"/>
      <c r="J1266" s="199"/>
    </row>
    <row r="1267" spans="1:10" x14ac:dyDescent="0.3">
      <c r="A1267" s="269"/>
      <c r="B1267" s="198"/>
      <c r="C1267" s="199"/>
      <c r="D1267" s="199"/>
      <c r="E1267" s="199"/>
      <c r="F1267" s="200"/>
      <c r="G1267" s="270"/>
      <c r="H1267" s="271"/>
      <c r="I1267" s="199"/>
      <c r="J1267" s="199"/>
    </row>
    <row r="1268" spans="1:10" x14ac:dyDescent="0.3">
      <c r="A1268" s="269"/>
      <c r="B1268" s="198"/>
      <c r="C1268" s="199"/>
      <c r="D1268" s="199"/>
      <c r="E1268" s="199"/>
      <c r="F1268" s="200"/>
      <c r="G1268" s="270"/>
      <c r="H1268" s="271"/>
      <c r="I1268" s="199"/>
      <c r="J1268" s="199"/>
    </row>
    <row r="1269" spans="1:10" x14ac:dyDescent="0.3">
      <c r="A1269" s="269"/>
      <c r="B1269" s="198"/>
      <c r="C1269" s="199"/>
      <c r="D1269" s="199"/>
      <c r="E1269" s="199"/>
      <c r="F1269" s="200"/>
      <c r="G1269" s="270"/>
      <c r="H1269" s="271"/>
      <c r="I1269" s="199"/>
      <c r="J1269" s="199"/>
    </row>
    <row r="1270" spans="1:10" x14ac:dyDescent="0.3">
      <c r="A1270" s="269"/>
      <c r="B1270" s="198"/>
      <c r="C1270" s="272"/>
      <c r="D1270" s="272"/>
      <c r="E1270" s="272"/>
      <c r="F1270" s="200"/>
      <c r="G1270" s="270"/>
      <c r="H1270" s="271"/>
      <c r="I1270" s="199"/>
      <c r="J1270" s="272"/>
    </row>
    <row r="1271" spans="1:10" x14ac:dyDescent="0.3">
      <c r="A1271" s="269"/>
      <c r="B1271" s="198"/>
      <c r="C1271" s="199"/>
      <c r="D1271" s="199"/>
      <c r="E1271" s="199"/>
      <c r="F1271" s="200"/>
      <c r="G1271" s="270"/>
      <c r="H1271" s="271"/>
      <c r="I1271" s="199"/>
      <c r="J1271" s="199"/>
    </row>
    <row r="1272" spans="1:10" x14ac:dyDescent="0.3">
      <c r="A1272" s="269"/>
      <c r="B1272" s="198"/>
      <c r="C1272" s="199"/>
      <c r="D1272" s="199"/>
      <c r="E1272" s="199"/>
      <c r="F1272" s="200"/>
      <c r="G1272" s="270"/>
      <c r="H1272" s="271"/>
      <c r="I1272" s="199"/>
      <c r="J1272" s="199"/>
    </row>
    <row r="1273" spans="1:10" x14ac:dyDescent="0.3">
      <c r="A1273" s="269"/>
      <c r="B1273" s="198"/>
      <c r="C1273" s="199"/>
      <c r="D1273" s="199"/>
      <c r="E1273" s="199"/>
      <c r="F1273" s="200"/>
      <c r="G1273" s="270"/>
      <c r="H1273" s="271"/>
      <c r="I1273" s="199"/>
      <c r="J1273" s="199"/>
    </row>
    <row r="1274" spans="1:10" x14ac:dyDescent="0.3">
      <c r="A1274" s="269"/>
      <c r="B1274" s="198"/>
      <c r="C1274" s="199"/>
      <c r="D1274" s="199"/>
      <c r="E1274" s="199"/>
      <c r="F1274" s="200"/>
      <c r="G1274" s="270"/>
      <c r="H1274" s="271"/>
      <c r="I1274" s="199"/>
      <c r="J1274" s="199"/>
    </row>
    <row r="1275" spans="1:10" x14ac:dyDescent="0.3">
      <c r="A1275" s="269"/>
      <c r="B1275" s="198"/>
      <c r="C1275" s="272"/>
      <c r="D1275" s="272"/>
      <c r="E1275" s="272"/>
      <c r="F1275" s="200"/>
      <c r="G1275" s="270"/>
      <c r="H1275" s="271"/>
      <c r="I1275" s="199"/>
      <c r="J1275" s="272"/>
    </row>
    <row r="1276" spans="1:10" x14ac:dyDescent="0.3">
      <c r="A1276" s="269"/>
      <c r="B1276" s="198"/>
      <c r="C1276" s="199"/>
      <c r="D1276" s="199"/>
      <c r="E1276" s="199"/>
      <c r="F1276" s="200"/>
      <c r="G1276" s="270"/>
      <c r="H1276" s="271"/>
      <c r="I1276" s="199"/>
      <c r="J1276" s="199"/>
    </row>
    <row r="1277" spans="1:10" x14ac:dyDescent="0.3">
      <c r="A1277" s="269"/>
      <c r="B1277" s="198"/>
      <c r="C1277" s="199"/>
      <c r="D1277" s="199"/>
      <c r="E1277" s="199"/>
      <c r="F1277" s="200"/>
      <c r="G1277" s="270"/>
      <c r="H1277" s="271"/>
      <c r="I1277" s="199"/>
      <c r="J1277" s="199"/>
    </row>
    <row r="1278" spans="1:10" x14ac:dyDescent="0.3">
      <c r="A1278" s="269"/>
      <c r="B1278" s="198"/>
      <c r="C1278" s="199"/>
      <c r="D1278" s="199"/>
      <c r="E1278" s="199"/>
      <c r="F1278" s="200"/>
      <c r="G1278" s="270"/>
      <c r="H1278" s="271"/>
      <c r="I1278" s="199"/>
      <c r="J1278" s="199"/>
    </row>
    <row r="1279" spans="1:10" x14ac:dyDescent="0.3">
      <c r="A1279" s="269"/>
      <c r="B1279" s="198"/>
      <c r="C1279" s="272"/>
      <c r="D1279" s="272"/>
      <c r="E1279" s="272"/>
      <c r="F1279" s="200"/>
      <c r="G1279" s="270"/>
      <c r="H1279" s="271"/>
      <c r="I1279" s="199"/>
      <c r="J1279" s="272"/>
    </row>
    <row r="1280" spans="1:10" x14ac:dyDescent="0.3">
      <c r="A1280" s="269"/>
      <c r="B1280" s="198"/>
      <c r="C1280" s="199"/>
      <c r="D1280" s="199"/>
      <c r="E1280" s="199"/>
      <c r="F1280" s="200"/>
      <c r="G1280" s="270"/>
      <c r="H1280" s="271"/>
      <c r="I1280" s="199"/>
      <c r="J1280" s="199"/>
    </row>
    <row r="1281" spans="1:10" x14ac:dyDescent="0.3">
      <c r="A1281" s="269"/>
      <c r="B1281" s="198"/>
      <c r="C1281" s="199"/>
      <c r="D1281" s="199"/>
      <c r="E1281" s="199"/>
      <c r="F1281" s="200"/>
      <c r="G1281" s="270"/>
      <c r="H1281" s="271"/>
      <c r="I1281" s="199"/>
      <c r="J1281" s="199"/>
    </row>
    <row r="1282" spans="1:10" x14ac:dyDescent="0.3">
      <c r="A1282" s="269"/>
      <c r="B1282" s="198"/>
      <c r="C1282" s="272"/>
      <c r="D1282" s="272"/>
      <c r="E1282" s="272"/>
      <c r="F1282" s="200"/>
      <c r="G1282" s="270"/>
      <c r="H1282" s="271"/>
      <c r="I1282" s="199"/>
      <c r="J1282" s="272"/>
    </row>
    <row r="1283" spans="1:10" x14ac:dyDescent="0.3">
      <c r="A1283" s="269"/>
      <c r="B1283" s="198"/>
      <c r="C1283" s="199"/>
      <c r="D1283" s="199"/>
      <c r="E1283" s="199"/>
      <c r="F1283" s="200"/>
      <c r="G1283" s="270"/>
      <c r="H1283" s="271"/>
      <c r="I1283" s="199"/>
      <c r="J1283" s="199"/>
    </row>
    <row r="1284" spans="1:10" x14ac:dyDescent="0.3">
      <c r="A1284" s="269"/>
      <c r="B1284" s="198"/>
      <c r="C1284" s="199"/>
      <c r="D1284" s="199"/>
      <c r="E1284" s="199"/>
      <c r="F1284" s="200"/>
      <c r="G1284" s="270"/>
      <c r="H1284" s="271"/>
      <c r="I1284" s="199"/>
      <c r="J1284" s="199"/>
    </row>
    <row r="1285" spans="1:10" x14ac:dyDescent="0.3">
      <c r="A1285" s="269"/>
      <c r="B1285" s="198"/>
      <c r="C1285" s="199"/>
      <c r="D1285" s="199"/>
      <c r="E1285" s="199"/>
      <c r="F1285" s="200"/>
      <c r="G1285" s="270"/>
      <c r="H1285" s="271"/>
      <c r="I1285" s="199"/>
      <c r="J1285" s="199"/>
    </row>
    <row r="1286" spans="1:10" x14ac:dyDescent="0.3">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22860</xdr:colOff>
                    <xdr:row>6</xdr:row>
                    <xdr:rowOff>99060</xdr:rowOff>
                  </from>
                  <to>
                    <xdr:col>13</xdr:col>
                    <xdr:colOff>129540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22860</xdr:colOff>
                    <xdr:row>8</xdr:row>
                    <xdr:rowOff>114300</xdr:rowOff>
                  </from>
                  <to>
                    <xdr:col>13</xdr:col>
                    <xdr:colOff>137160</xdr:colOff>
                    <xdr:row>10</xdr:row>
                    <xdr:rowOff>15240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22860</xdr:colOff>
                    <xdr:row>11</xdr:row>
                    <xdr:rowOff>0</xdr:rowOff>
                  </from>
                  <to>
                    <xdr:col>13</xdr:col>
                    <xdr:colOff>137160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Stefan Saffer</cp:lastModifiedBy>
  <cp:lastPrinted>2025-01-26T22:11:58Z</cp:lastPrinted>
  <dcterms:created xsi:type="dcterms:W3CDTF">2008-06-12T13:54:35Z</dcterms:created>
  <dcterms:modified xsi:type="dcterms:W3CDTF">2025-03-16T16:20:32Z</dcterms:modified>
</cp:coreProperties>
</file>